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16" windowWidth="15330" windowHeight="9540" tabRatio="380" activeTab="3"/>
  </bookViews>
  <sheets>
    <sheet name="master" sheetId="1" r:id="rId1"/>
    <sheet name="plywood" sheetId="2" r:id="rId2"/>
    <sheet name="glass lam" sheetId="3" r:id="rId3"/>
    <sheet name="weight" sheetId="4" r:id="rId4"/>
    <sheet name="core" sheetId="5" r:id="rId5"/>
  </sheets>
  <definedNames>
    <definedName name="_xlnm.Print_Area" localSheetId="2">'glass lam'!$A$1:$M$86</definedName>
    <definedName name="_xlnm.Print_Area" localSheetId="0">'master'!$B$2:$E$137</definedName>
    <definedName name="_xlnm.Print_Area" localSheetId="3">'weight'!#REF!</definedName>
  </definedNames>
  <calcPr fullCalcOnLoad="1"/>
</workbook>
</file>

<file path=xl/sharedStrings.xml><?xml version="1.0" encoding="utf-8"?>
<sst xmlns="http://schemas.openxmlformats.org/spreadsheetml/2006/main" count="443" uniqueCount="113">
  <si>
    <t xml:space="preserve"> Materials List</t>
  </si>
  <si>
    <t>LAM-A</t>
  </si>
  <si>
    <t>hull exterior, cabinsides</t>
  </si>
  <si>
    <t xml:space="preserve">LAM-B </t>
  </si>
  <si>
    <t>LAM-C</t>
  </si>
  <si>
    <t>LAM-D</t>
  </si>
  <si>
    <t>hull frames</t>
  </si>
  <si>
    <t>LAM-E</t>
  </si>
  <si>
    <t>interior  walls</t>
  </si>
  <si>
    <t xml:space="preserve"> </t>
  </si>
  <si>
    <t>HULL</t>
  </si>
  <si>
    <t>sq. ft.</t>
  </si>
  <si>
    <t>sq. mts.</t>
  </si>
  <si>
    <t>BULKHEADS</t>
  </si>
  <si>
    <t>total surface area</t>
  </si>
  <si>
    <t>TOTAL  AREA per layup</t>
  </si>
  <si>
    <t xml:space="preserve">Total per glass item </t>
  </si>
  <si>
    <t xml:space="preserve">for example </t>
  </si>
  <si>
    <t xml:space="preserve">is </t>
  </si>
  <si>
    <t>thus the total area</t>
  </si>
  <si>
    <t>of actual triaxial cloth</t>
  </si>
  <si>
    <t>lin ft.</t>
  </si>
  <si>
    <t>lin. ft.</t>
  </si>
  <si>
    <t>glass</t>
  </si>
  <si>
    <t>epoxy</t>
  </si>
  <si>
    <t>laminate sq.ft.</t>
  </si>
  <si>
    <t>type</t>
  </si>
  <si>
    <t>act. sq.ft</t>
  </si>
  <si>
    <t xml:space="preserve"> sq.mt</t>
  </si>
  <si>
    <t>weight oz.</t>
  </si>
  <si>
    <t>gsm</t>
  </si>
  <si>
    <t>weight lb.</t>
  </si>
  <si>
    <t>kilograms</t>
  </si>
  <si>
    <t>gallons</t>
  </si>
  <si>
    <t>liters</t>
  </si>
  <si>
    <t>total weights</t>
  </si>
  <si>
    <t xml:space="preserve">bridgedeck </t>
  </si>
  <si>
    <t>Plywd A</t>
  </si>
  <si>
    <t>Plywd B</t>
  </si>
  <si>
    <t>Plywd C</t>
  </si>
  <si>
    <t>Plywd D</t>
  </si>
  <si>
    <t>Plywd E</t>
  </si>
  <si>
    <t>Designation</t>
  </si>
  <si>
    <t>Grade</t>
  </si>
  <si>
    <t>Example</t>
  </si>
  <si>
    <t>Description</t>
  </si>
  <si>
    <t>Marine</t>
  </si>
  <si>
    <t>Spruce</t>
  </si>
  <si>
    <t>varies</t>
  </si>
  <si>
    <t>Spar</t>
  </si>
  <si>
    <t>board ft.</t>
  </si>
  <si>
    <t>LAM-G</t>
  </si>
  <si>
    <t>LAM-H</t>
  </si>
  <si>
    <t>LAM-I</t>
  </si>
  <si>
    <t>LAM-F</t>
  </si>
  <si>
    <t>Cloth 6 oz</t>
  </si>
  <si>
    <t>Cloth 10 oz</t>
  </si>
  <si>
    <t>Triax 34 oz</t>
  </si>
  <si>
    <t>Triax 20 oz</t>
  </si>
  <si>
    <t>Triax 17 oz</t>
  </si>
  <si>
    <t>Biax 20 oz</t>
  </si>
  <si>
    <t>Biax 12 oz</t>
  </si>
  <si>
    <t>Uni 12 oz</t>
  </si>
  <si>
    <t>Uni 10 oz</t>
  </si>
  <si>
    <t>CORE-F</t>
  </si>
  <si>
    <t>CORE-K</t>
  </si>
  <si>
    <t>Thickness (mm)</t>
  </si>
  <si>
    <t>thick (mm)</t>
  </si>
  <si>
    <t>thick (m)</t>
  </si>
  <si>
    <t>kilogram</t>
  </si>
  <si>
    <t>hull interior surface, bridgedk lwr surface</t>
  </si>
  <si>
    <r>
      <t>kg/m</t>
    </r>
    <r>
      <rPr>
        <vertAlign val="superscript"/>
        <sz val="10"/>
        <rFont val="MS Sans Serif"/>
        <family val="2"/>
      </rPr>
      <t>3</t>
    </r>
  </si>
  <si>
    <r>
      <t>lb/ft</t>
    </r>
    <r>
      <rPr>
        <vertAlign val="superscript"/>
        <sz val="10"/>
        <rFont val="MS Sans Serif"/>
        <family val="2"/>
      </rPr>
      <t>3</t>
    </r>
  </si>
  <si>
    <t>6"</t>
  </si>
  <si>
    <t>8"</t>
  </si>
  <si>
    <t>50"</t>
  </si>
  <si>
    <t>support ring</t>
  </si>
  <si>
    <t>ring surface one modul</t>
  </si>
  <si>
    <t>total 6 modules</t>
  </si>
  <si>
    <t>Living ring</t>
  </si>
  <si>
    <t>1 wall</t>
  </si>
  <si>
    <t>2 wall</t>
  </si>
  <si>
    <t>3 wall</t>
  </si>
  <si>
    <t>4 wall</t>
  </si>
  <si>
    <t>5 wall</t>
  </si>
  <si>
    <t>6 wall</t>
  </si>
  <si>
    <t>galley expansion</t>
  </si>
  <si>
    <t>head expansion</t>
  </si>
  <si>
    <t>stitting expansion</t>
  </si>
  <si>
    <t>lounge base</t>
  </si>
  <si>
    <t>main floor</t>
  </si>
  <si>
    <t>top</t>
  </si>
  <si>
    <t>bed panel</t>
  </si>
  <si>
    <t>total surfaces</t>
  </si>
  <si>
    <t>6 lounge walls</t>
  </si>
  <si>
    <t>round expansion</t>
  </si>
  <si>
    <t>door</t>
  </si>
  <si>
    <t>total surface areas</t>
  </si>
  <si>
    <t>sheets</t>
  </si>
  <si>
    <t>total sheets 2' x4'</t>
  </si>
  <si>
    <t>total sprung weight</t>
  </si>
  <si>
    <t>legs</t>
  </si>
  <si>
    <t>pads</t>
  </si>
  <si>
    <t>total  weight</t>
  </si>
  <si>
    <t>lbs</t>
  </si>
  <si>
    <t>weight</t>
  </si>
  <si>
    <t>struts</t>
  </si>
  <si>
    <t>misc equipmt</t>
  </si>
  <si>
    <t>live load @ 40lb/sf</t>
  </si>
  <si>
    <t>dead &amp; live</t>
  </si>
  <si>
    <t>total</t>
  </si>
  <si>
    <t>dead load</t>
  </si>
  <si>
    <t>sqft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</si>
</sst>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2"/>
    </font>
    <font>
      <b/>
      <sz val="12"/>
      <name val="MS Sans Serif"/>
      <family val="0"/>
    </font>
    <font>
      <sz val="8"/>
      <name val="MS Sans Serif"/>
      <family val="2"/>
    </font>
    <font>
      <sz val="8.5"/>
      <name val="MS Sans Serif"/>
      <family val="2"/>
    </font>
    <font>
      <sz val="10"/>
      <color indexed="10"/>
      <name val="MS Sans Serif"/>
      <family val="2"/>
    </font>
    <font>
      <u val="single"/>
      <sz val="7.5"/>
      <color indexed="12"/>
      <name val="MS Sans Serif"/>
      <family val="0"/>
    </font>
    <font>
      <b/>
      <u val="single"/>
      <sz val="10"/>
      <name val="MS Sans Serif"/>
      <family val="2"/>
    </font>
    <font>
      <vertAlign val="superscript"/>
      <sz val="10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1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Fill="1" applyAlignment="1">
      <alignment/>
    </xf>
    <xf numFmtId="0" fontId="0" fillId="2" borderId="7" xfId="0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3" borderId="8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" fillId="4" borderId="5" xfId="0" applyFont="1" applyFill="1" applyBorder="1" applyAlignment="1">
      <alignment horizontal="left"/>
    </xf>
    <xf numFmtId="0" fontId="1" fillId="4" borderId="1" xfId="0" applyFont="1" applyFill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/>
    </xf>
    <xf numFmtId="2" fontId="0" fillId="3" borderId="0" xfId="0" applyNumberFormat="1" applyFill="1" applyAlignment="1">
      <alignment/>
    </xf>
    <xf numFmtId="2" fontId="1" fillId="3" borderId="7" xfId="0" applyNumberFormat="1" applyFont="1" applyFill="1" applyBorder="1" applyAlignment="1">
      <alignment/>
    </xf>
    <xf numFmtId="2" fontId="0" fillId="3" borderId="8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1" fillId="2" borderId="7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3" borderId="0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1" fillId="4" borderId="7" xfId="0" applyNumberFormat="1" applyFont="1" applyFill="1" applyBorder="1" applyAlignment="1">
      <alignment/>
    </xf>
    <xf numFmtId="2" fontId="1" fillId="4" borderId="1" xfId="0" applyNumberFormat="1" applyFont="1" applyFill="1" applyBorder="1" applyAlignment="1">
      <alignment/>
    </xf>
    <xf numFmtId="2" fontId="0" fillId="3" borderId="9" xfId="0" applyNumberFormat="1" applyFont="1" applyFill="1" applyBorder="1" applyAlignment="1">
      <alignment/>
    </xf>
    <xf numFmtId="2" fontId="0" fillId="3" borderId="10" xfId="0" applyNumberFormat="1" applyFont="1" applyFill="1" applyBorder="1" applyAlignment="1">
      <alignment/>
    </xf>
    <xf numFmtId="2" fontId="0" fillId="0" borderId="4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3" borderId="11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3" borderId="12" xfId="0" applyNumberFormat="1" applyFill="1" applyBorder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2" fontId="1" fillId="2" borderId="10" xfId="0" applyNumberFormat="1" applyFont="1" applyFill="1" applyBorder="1" applyAlignment="1">
      <alignment/>
    </xf>
    <xf numFmtId="2" fontId="1" fillId="2" borderId="10" xfId="0" applyNumberFormat="1" applyFont="1" applyFill="1" applyBorder="1" applyAlignment="1" quotePrefix="1">
      <alignment horizontal="left"/>
    </xf>
    <xf numFmtId="2" fontId="1" fillId="2" borderId="10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7" fillId="3" borderId="0" xfId="0" applyNumberFormat="1" applyFont="1" applyFill="1" applyAlignment="1">
      <alignment/>
    </xf>
    <xf numFmtId="2" fontId="6" fillId="3" borderId="0" xfId="0" applyNumberFormat="1" applyFont="1" applyFill="1" applyAlignment="1">
      <alignment/>
    </xf>
    <xf numFmtId="2" fontId="6" fillId="3" borderId="4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8" fillId="0" borderId="8" xfId="0" applyNumberFormat="1" applyFont="1" applyBorder="1" applyAlignment="1">
      <alignment/>
    </xf>
    <xf numFmtId="0" fontId="8" fillId="3" borderId="0" xfId="0" applyFont="1" applyFill="1" applyAlignment="1">
      <alignment/>
    </xf>
    <xf numFmtId="2" fontId="8" fillId="0" borderId="0" xfId="0" applyNumberFormat="1" applyFont="1" applyBorder="1" applyAlignment="1">
      <alignment/>
    </xf>
    <xf numFmtId="0" fontId="8" fillId="3" borderId="8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2" fontId="8" fillId="0" borderId="9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4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2" fontId="1" fillId="2" borderId="4" xfId="0" applyNumberFormat="1" applyFont="1" applyFill="1" applyBorder="1" applyAlignment="1">
      <alignment/>
    </xf>
    <xf numFmtId="2" fontId="1" fillId="2" borderId="4" xfId="0" applyNumberFormat="1" applyFont="1" applyFill="1" applyBorder="1" applyAlignment="1" quotePrefix="1">
      <alignment horizontal="left"/>
    </xf>
    <xf numFmtId="2" fontId="1" fillId="2" borderId="4" xfId="0" applyNumberFormat="1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7"/>
  <sheetViews>
    <sheetView workbookViewId="0" topLeftCell="A1">
      <selection activeCell="E44" sqref="E44"/>
    </sheetView>
  </sheetViews>
  <sheetFormatPr defaultColWidth="9.140625" defaultRowHeight="12.75"/>
  <cols>
    <col min="1" max="1" width="5.28125" style="0" customWidth="1"/>
    <col min="3" max="3" width="16.421875" style="0" customWidth="1"/>
    <col min="5" max="5" width="9.8515625" style="0" customWidth="1"/>
  </cols>
  <sheetData>
    <row r="1" ht="13.5" thickBot="1"/>
    <row r="2" spans="2:5" ht="15.75" customHeight="1" thickBot="1">
      <c r="B2" s="16" t="s">
        <v>76</v>
      </c>
      <c r="C2" s="17"/>
      <c r="D2" s="17" t="s">
        <v>9</v>
      </c>
      <c r="E2" s="17"/>
    </row>
    <row r="3" ht="12.75">
      <c r="E3" s="33"/>
    </row>
    <row r="4" spans="2:5" ht="12.75">
      <c r="B4" s="1" t="s">
        <v>77</v>
      </c>
      <c r="D4" s="68" t="s">
        <v>11</v>
      </c>
      <c r="E4" s="66">
        <v>99</v>
      </c>
    </row>
    <row r="5" spans="2:5" ht="12.75">
      <c r="B5" s="2"/>
      <c r="D5" s="15" t="s">
        <v>12</v>
      </c>
      <c r="E5" s="34">
        <f>SUM(E4*0.09290304)</f>
        <v>9.197400960000001</v>
      </c>
    </row>
    <row r="6" spans="2:5" ht="12.75" customHeight="1">
      <c r="B6" s="1" t="s">
        <v>78</v>
      </c>
      <c r="D6" s="68" t="s">
        <v>11</v>
      </c>
      <c r="E6" s="66">
        <f>E4*6</f>
        <v>594</v>
      </c>
    </row>
    <row r="7" spans="2:5" ht="12.75" customHeight="1">
      <c r="B7" s="1"/>
      <c r="D7" s="15" t="s">
        <v>12</v>
      </c>
      <c r="E7" s="34">
        <f>SUM(E6*0.09290304)</f>
        <v>55.184405760000004</v>
      </c>
    </row>
    <row r="8" ht="12.75" customHeight="1">
      <c r="E8" s="33"/>
    </row>
    <row r="9" ht="12.75" customHeight="1" thickBot="1">
      <c r="E9" s="33"/>
    </row>
    <row r="10" spans="2:5" ht="12.75" customHeight="1" thickBot="1">
      <c r="B10" s="16" t="s">
        <v>79</v>
      </c>
      <c r="C10" s="17"/>
      <c r="D10" s="17"/>
      <c r="E10" s="35"/>
    </row>
    <row r="11" spans="2:5" ht="12.75">
      <c r="B11" s="1" t="s">
        <v>80</v>
      </c>
      <c r="D11" s="68" t="s">
        <v>11</v>
      </c>
      <c r="E11" s="66">
        <v>23.4</v>
      </c>
    </row>
    <row r="12" spans="2:5" ht="12.75">
      <c r="B12" s="2"/>
      <c r="D12" s="15" t="s">
        <v>12</v>
      </c>
      <c r="E12" s="34">
        <f>SUM(E11*0.09290304)</f>
        <v>2.173931136</v>
      </c>
    </row>
    <row r="13" spans="2:5" ht="12.75">
      <c r="B13" s="1" t="s">
        <v>81</v>
      </c>
      <c r="D13" s="68" t="s">
        <v>11</v>
      </c>
      <c r="E13" s="66">
        <v>48</v>
      </c>
    </row>
    <row r="14" spans="2:5" ht="12.75">
      <c r="B14" s="1"/>
      <c r="D14" s="15" t="s">
        <v>12</v>
      </c>
      <c r="E14" s="34">
        <f>SUM(E13*0.09290304)</f>
        <v>4.4593459200000005</v>
      </c>
    </row>
    <row r="15" spans="2:5" ht="12.75">
      <c r="B15" s="2" t="s">
        <v>82</v>
      </c>
      <c r="D15" s="68" t="s">
        <v>11</v>
      </c>
      <c r="E15" s="66">
        <v>25.7</v>
      </c>
    </row>
    <row r="16" spans="2:5" ht="12.75">
      <c r="B16" s="2"/>
      <c r="D16" s="15" t="s">
        <v>12</v>
      </c>
      <c r="E16" s="34">
        <f>SUM(E15*0.09290304)</f>
        <v>2.387608128</v>
      </c>
    </row>
    <row r="17" spans="2:5" ht="12.75">
      <c r="B17" s="1" t="s">
        <v>83</v>
      </c>
      <c r="D17" s="68" t="s">
        <v>11</v>
      </c>
      <c r="E17" s="66">
        <v>48</v>
      </c>
    </row>
    <row r="18" spans="2:5" ht="12.75">
      <c r="B18" s="1"/>
      <c r="D18" s="15" t="s">
        <v>12</v>
      </c>
      <c r="E18" s="34">
        <f>SUM(E17*0.09290304)</f>
        <v>4.4593459200000005</v>
      </c>
    </row>
    <row r="19" spans="2:5" ht="12.75">
      <c r="B19" s="1" t="s">
        <v>84</v>
      </c>
      <c r="D19" s="68" t="s">
        <v>11</v>
      </c>
      <c r="E19" s="66">
        <v>24</v>
      </c>
    </row>
    <row r="20" spans="2:5" ht="12.75">
      <c r="B20" s="1"/>
      <c r="D20" s="15" t="s">
        <v>12</v>
      </c>
      <c r="E20" s="34">
        <f>SUM(E19*0.09290304)</f>
        <v>2.2296729600000003</v>
      </c>
    </row>
    <row r="21" spans="2:5" ht="12.75">
      <c r="B21" s="1" t="s">
        <v>85</v>
      </c>
      <c r="D21" s="68" t="s">
        <v>11</v>
      </c>
      <c r="E21" s="66">
        <v>11</v>
      </c>
    </row>
    <row r="22" spans="2:5" ht="12.75">
      <c r="B22" s="1"/>
      <c r="D22" s="15" t="s">
        <v>12</v>
      </c>
      <c r="E22" s="34">
        <f>SUM(E21*0.09290304)</f>
        <v>1.02193344</v>
      </c>
    </row>
    <row r="23" spans="2:5" ht="12.75">
      <c r="B23" s="1" t="s">
        <v>86</v>
      </c>
      <c r="D23" s="68" t="s">
        <v>11</v>
      </c>
      <c r="E23" s="66">
        <v>49</v>
      </c>
    </row>
    <row r="24" spans="2:5" ht="12.75">
      <c r="B24" s="1"/>
      <c r="D24" s="15" t="s">
        <v>12</v>
      </c>
      <c r="E24" s="34">
        <f>SUM(E23*0.09290304)</f>
        <v>4.55224896</v>
      </c>
    </row>
    <row r="25" spans="2:5" ht="12.75">
      <c r="B25" s="1" t="s">
        <v>87</v>
      </c>
      <c r="D25" s="68" t="s">
        <v>11</v>
      </c>
      <c r="E25" s="66">
        <v>84</v>
      </c>
    </row>
    <row r="26" spans="2:5" ht="12.75">
      <c r="B26" s="1"/>
      <c r="D26" s="15" t="s">
        <v>12</v>
      </c>
      <c r="E26" s="34">
        <f>SUM(E25*0.09290304)</f>
        <v>7.803855360000001</v>
      </c>
    </row>
    <row r="27" spans="2:5" ht="12.75">
      <c r="B27" s="1" t="s">
        <v>88</v>
      </c>
      <c r="D27" s="68" t="s">
        <v>11</v>
      </c>
      <c r="E27" s="66">
        <v>135</v>
      </c>
    </row>
    <row r="28" spans="2:5" ht="12.75">
      <c r="B28" s="1"/>
      <c r="D28" s="15" t="s">
        <v>12</v>
      </c>
      <c r="E28" s="34">
        <f>SUM(E27*0.09290304)</f>
        <v>12.5419104</v>
      </c>
    </row>
    <row r="29" spans="2:5" ht="12.75">
      <c r="B29" s="1" t="s">
        <v>95</v>
      </c>
      <c r="D29" s="68" t="s">
        <v>11</v>
      </c>
      <c r="E29" s="66">
        <v>58.5</v>
      </c>
    </row>
    <row r="30" spans="2:5" ht="12.75">
      <c r="B30" s="1"/>
      <c r="D30" s="15" t="s">
        <v>12</v>
      </c>
      <c r="E30" s="34">
        <f>SUM(E29*0.09290304)</f>
        <v>5.4348278400000005</v>
      </c>
    </row>
    <row r="31" spans="2:5" ht="12.75">
      <c r="B31" s="1" t="s">
        <v>89</v>
      </c>
      <c r="D31" s="68" t="s">
        <v>11</v>
      </c>
      <c r="E31" s="66">
        <v>99</v>
      </c>
    </row>
    <row r="32" spans="2:5" ht="12.75">
      <c r="B32" s="1"/>
      <c r="D32" s="15" t="s">
        <v>12</v>
      </c>
      <c r="E32" s="34">
        <f>SUM(E31*0.09290304)</f>
        <v>9.197400960000001</v>
      </c>
    </row>
    <row r="33" spans="2:5" ht="12.75">
      <c r="B33" s="1" t="s">
        <v>90</v>
      </c>
      <c r="D33" s="68" t="s">
        <v>11</v>
      </c>
      <c r="E33" s="66">
        <v>55</v>
      </c>
    </row>
    <row r="34" spans="2:5" ht="12.75">
      <c r="B34" s="1"/>
      <c r="D34" s="15" t="s">
        <v>12</v>
      </c>
      <c r="E34" s="34">
        <f>SUM(E33*0.09290304)</f>
        <v>5.1096672000000005</v>
      </c>
    </row>
    <row r="35" spans="2:5" ht="12.75">
      <c r="B35" s="1" t="s">
        <v>96</v>
      </c>
      <c r="D35" s="68" t="s">
        <v>11</v>
      </c>
      <c r="E35" s="66">
        <v>36.5</v>
      </c>
    </row>
    <row r="36" spans="2:5" ht="12.75">
      <c r="B36" s="1"/>
      <c r="D36" s="15" t="s">
        <v>12</v>
      </c>
      <c r="E36" s="34">
        <f>SUM(E35*0.09290304)</f>
        <v>3.39096096</v>
      </c>
    </row>
    <row r="37" spans="2:5" ht="12.75">
      <c r="B37" s="1" t="s">
        <v>91</v>
      </c>
      <c r="D37" s="68" t="s">
        <v>11</v>
      </c>
      <c r="E37" s="66">
        <v>55</v>
      </c>
    </row>
    <row r="38" spans="2:5" ht="12.75">
      <c r="B38" s="1"/>
      <c r="D38" s="15" t="s">
        <v>12</v>
      </c>
      <c r="E38" s="34">
        <f>SUM(E37*0.09290304)</f>
        <v>5.1096672000000005</v>
      </c>
    </row>
    <row r="39" spans="2:5" ht="12.75">
      <c r="B39" s="1" t="s">
        <v>94</v>
      </c>
      <c r="D39" s="68" t="s">
        <v>11</v>
      </c>
      <c r="E39" s="66">
        <v>229</v>
      </c>
    </row>
    <row r="40" spans="2:5" ht="12.75">
      <c r="B40" s="1"/>
      <c r="D40" s="15" t="s">
        <v>12</v>
      </c>
      <c r="E40" s="34">
        <f>SUM(E39*0.09290304)</f>
        <v>21.27479616</v>
      </c>
    </row>
    <row r="41" spans="2:5" ht="12.75">
      <c r="B41" s="1" t="s">
        <v>92</v>
      </c>
      <c r="D41" s="68" t="s">
        <v>11</v>
      </c>
      <c r="E41" s="66">
        <v>30</v>
      </c>
    </row>
    <row r="42" spans="2:5" ht="12.75">
      <c r="B42" s="1"/>
      <c r="D42" s="15" t="s">
        <v>12</v>
      </c>
      <c r="E42" s="34">
        <f>SUM(E41*0.09290304)</f>
        <v>2.7870912000000003</v>
      </c>
    </row>
    <row r="43" spans="2:5" ht="12.75">
      <c r="B43" s="52" t="s">
        <v>14</v>
      </c>
      <c r="C43" s="53"/>
      <c r="D43" s="70" t="s">
        <v>11</v>
      </c>
      <c r="E43" s="67">
        <f>SUM(E11+E13+E15+E17+E19+E21+E23+E25+E27+E31+E33+E37+E39+E41)</f>
        <v>916.1</v>
      </c>
    </row>
    <row r="44" spans="2:5" ht="12.75">
      <c r="B44" s="1"/>
      <c r="D44" s="28" t="s">
        <v>12</v>
      </c>
      <c r="E44" s="36">
        <f>SUM(E43*0.09290304)</f>
        <v>85.10847494400001</v>
      </c>
    </row>
    <row r="45" spans="2:5" ht="12.75">
      <c r="B45" s="1" t="s">
        <v>97</v>
      </c>
      <c r="D45" s="68" t="s">
        <v>11</v>
      </c>
      <c r="E45" s="66">
        <f>E43*2</f>
        <v>1832.2</v>
      </c>
    </row>
    <row r="46" spans="2:5" ht="12.75">
      <c r="B46" s="1"/>
      <c r="D46" s="15" t="s">
        <v>12</v>
      </c>
      <c r="E46" s="34">
        <f>SUM(E45*0.09290304)</f>
        <v>170.21694988800002</v>
      </c>
    </row>
    <row r="47" spans="2:5" ht="12.75">
      <c r="B47" s="1"/>
      <c r="D47" s="62"/>
      <c r="E47" s="60"/>
    </row>
    <row r="48" spans="2:5" ht="12.75">
      <c r="B48" s="1"/>
      <c r="D48" s="20"/>
      <c r="E48" s="37"/>
    </row>
    <row r="49" spans="2:5" ht="12.75">
      <c r="B49" s="1" t="s">
        <v>93</v>
      </c>
      <c r="D49" s="68" t="s">
        <v>11</v>
      </c>
      <c r="E49" s="66">
        <f>E45*2</f>
        <v>3664.4</v>
      </c>
    </row>
    <row r="50" spans="2:5" ht="12.75">
      <c r="B50" s="1"/>
      <c r="D50" s="15" t="s">
        <v>12</v>
      </c>
      <c r="E50" s="34">
        <f>SUM(E49*0.09290304)</f>
        <v>340.43389977600003</v>
      </c>
    </row>
    <row r="51" spans="2:5" ht="12.75">
      <c r="B51" s="1"/>
      <c r="D51" s="71"/>
      <c r="E51" s="69"/>
    </row>
    <row r="52" spans="2:5" ht="12.75">
      <c r="B52" s="1"/>
      <c r="D52" s="29"/>
      <c r="E52" s="40"/>
    </row>
    <row r="53" spans="2:5" ht="13.5" thickBot="1">
      <c r="B53" s="24"/>
      <c r="E53" s="33"/>
    </row>
    <row r="54" spans="2:5" ht="13.5" thickBot="1">
      <c r="B54" s="22"/>
      <c r="C54" s="21"/>
      <c r="D54" s="21"/>
      <c r="E54" s="41"/>
    </row>
    <row r="55" spans="2:5" ht="12.75">
      <c r="B55" s="1"/>
      <c r="D55" s="68"/>
      <c r="E55" s="66"/>
    </row>
    <row r="56" spans="2:5" ht="12.75">
      <c r="B56" s="1"/>
      <c r="D56" s="15"/>
      <c r="E56" s="34"/>
    </row>
    <row r="57" spans="2:5" ht="12.75">
      <c r="B57" s="1"/>
      <c r="D57" s="68"/>
      <c r="E57" s="66"/>
    </row>
    <row r="58" spans="2:5" ht="12.75">
      <c r="B58" s="1"/>
      <c r="D58" s="15"/>
      <c r="E58" s="34"/>
    </row>
    <row r="59" spans="2:5" ht="12.75">
      <c r="B59" s="2"/>
      <c r="D59" s="68"/>
      <c r="E59" s="66"/>
    </row>
    <row r="60" spans="2:5" ht="12.75">
      <c r="B60" s="2"/>
      <c r="D60" s="15"/>
      <c r="E60" s="34"/>
    </row>
    <row r="61" spans="2:5" ht="12.75">
      <c r="B61" s="1"/>
      <c r="D61" s="68"/>
      <c r="E61" s="66"/>
    </row>
    <row r="62" spans="2:5" ht="12.75">
      <c r="B62" s="1"/>
      <c r="D62" s="15"/>
      <c r="E62" s="34"/>
    </row>
    <row r="63" spans="2:5" ht="12.75">
      <c r="B63" s="1"/>
      <c r="D63" s="68"/>
      <c r="E63" s="66"/>
    </row>
    <row r="64" spans="2:5" ht="12.75">
      <c r="B64" s="1"/>
      <c r="D64" s="15"/>
      <c r="E64" s="34"/>
    </row>
    <row r="65" spans="2:5" ht="12.75">
      <c r="B65" s="1"/>
      <c r="D65" s="68"/>
      <c r="E65" s="66"/>
    </row>
    <row r="66" spans="2:5" ht="12.75">
      <c r="B66" s="1"/>
      <c r="D66" s="15"/>
      <c r="E66" s="34"/>
    </row>
    <row r="67" spans="2:5" ht="12.75">
      <c r="B67" s="1"/>
      <c r="D67" s="68"/>
      <c r="E67" s="66"/>
    </row>
    <row r="68" spans="2:5" ht="12.75">
      <c r="B68" s="1"/>
      <c r="D68" s="15"/>
      <c r="E68" s="34"/>
    </row>
    <row r="69" spans="2:5" ht="12.75">
      <c r="B69" s="52"/>
      <c r="C69" s="53"/>
      <c r="D69" s="70"/>
      <c r="E69" s="67"/>
    </row>
    <row r="70" spans="2:5" ht="12.75">
      <c r="B70" s="1"/>
      <c r="D70" s="28"/>
      <c r="E70" s="36"/>
    </row>
    <row r="71" spans="2:5" ht="13.5" thickBot="1">
      <c r="B71" s="19"/>
      <c r="E71" s="33"/>
    </row>
    <row r="72" spans="2:5" ht="13.5" thickBot="1">
      <c r="B72" s="25"/>
      <c r="C72" s="26"/>
      <c r="D72" s="26"/>
      <c r="E72" s="42"/>
    </row>
    <row r="73" spans="2:5" ht="12.75">
      <c r="B73" s="2"/>
      <c r="D73" s="68"/>
      <c r="E73" s="66"/>
    </row>
    <row r="74" spans="2:5" ht="12.75">
      <c r="B74" s="2"/>
      <c r="D74" s="15"/>
      <c r="E74" s="34"/>
    </row>
    <row r="75" spans="2:5" ht="12.75">
      <c r="B75" s="2"/>
      <c r="D75" s="68"/>
      <c r="E75" s="66"/>
    </row>
    <row r="76" spans="2:5" ht="12.75">
      <c r="B76" s="2"/>
      <c r="D76" s="15"/>
      <c r="E76" s="34"/>
    </row>
    <row r="77" spans="2:5" ht="12.75">
      <c r="B77" s="2"/>
      <c r="D77" s="68"/>
      <c r="E77" s="66"/>
    </row>
    <row r="78" spans="2:5" ht="12.75">
      <c r="B78" s="2"/>
      <c r="D78" s="15"/>
      <c r="E78" s="34"/>
    </row>
    <row r="79" spans="2:5" ht="12.75">
      <c r="B79" s="52"/>
      <c r="C79" s="53"/>
      <c r="D79" s="70"/>
      <c r="E79" s="67"/>
    </row>
    <row r="80" spans="2:5" ht="12.75">
      <c r="B80" s="1"/>
      <c r="D80" s="28"/>
      <c r="E80" s="36"/>
    </row>
    <row r="81" spans="2:5" ht="13.5" thickBot="1">
      <c r="B81" s="27"/>
      <c r="C81" s="6"/>
      <c r="D81" s="6"/>
      <c r="E81" s="39"/>
    </row>
    <row r="82" spans="2:5" ht="13.5" thickBot="1">
      <c r="B82" s="25"/>
      <c r="C82" s="26"/>
      <c r="D82" s="26"/>
      <c r="E82" s="42"/>
    </row>
    <row r="83" spans="2:5" ht="12.75">
      <c r="B83" s="2"/>
      <c r="D83" s="68"/>
      <c r="E83" s="66"/>
    </row>
    <row r="84" spans="2:5" ht="12.75">
      <c r="B84" s="2"/>
      <c r="D84" s="15"/>
      <c r="E84" s="34"/>
    </row>
    <row r="85" spans="2:5" ht="12.75">
      <c r="B85" s="2"/>
      <c r="D85" s="68"/>
      <c r="E85" s="66"/>
    </row>
    <row r="86" spans="2:5" ht="12.75">
      <c r="B86" s="2"/>
      <c r="D86" s="15"/>
      <c r="E86" s="34"/>
    </row>
    <row r="87" spans="2:5" ht="12.75">
      <c r="B87" s="2"/>
      <c r="D87" s="15"/>
      <c r="E87" s="66"/>
    </row>
    <row r="88" spans="2:5" ht="12.75">
      <c r="B88" s="2"/>
      <c r="D88" s="15"/>
      <c r="E88" s="34"/>
    </row>
    <row r="89" spans="2:5" ht="12.75">
      <c r="B89" s="2"/>
      <c r="D89" s="68"/>
      <c r="E89" s="66"/>
    </row>
    <row r="90" spans="2:5" ht="12.75">
      <c r="B90" s="2"/>
      <c r="D90" s="15"/>
      <c r="E90" s="34"/>
    </row>
    <row r="91" spans="2:5" ht="12.75">
      <c r="B91" s="1"/>
      <c r="D91" s="68"/>
      <c r="E91" s="66"/>
    </row>
    <row r="92" spans="2:5" ht="12.75">
      <c r="B92" s="2"/>
      <c r="D92" s="15"/>
      <c r="E92" s="34"/>
    </row>
    <row r="93" spans="2:5" ht="12.75">
      <c r="B93" s="2"/>
      <c r="D93" s="68"/>
      <c r="E93" s="66"/>
    </row>
    <row r="94" spans="2:5" ht="12.75">
      <c r="B94" s="1"/>
      <c r="D94" s="15"/>
      <c r="E94" s="34"/>
    </row>
    <row r="95" spans="2:5" ht="12.75">
      <c r="B95" s="52"/>
      <c r="C95" s="53"/>
      <c r="D95" s="70"/>
      <c r="E95" s="67"/>
    </row>
    <row r="96" spans="2:5" ht="12.75">
      <c r="B96" s="1"/>
      <c r="D96" s="28"/>
      <c r="E96" s="36"/>
    </row>
    <row r="97" spans="2:5" ht="12.75">
      <c r="B97" s="1"/>
      <c r="D97" s="29"/>
      <c r="E97" s="40"/>
    </row>
    <row r="98" spans="2:5" ht="12.75">
      <c r="B98" s="1"/>
      <c r="D98" s="29"/>
      <c r="E98" s="40"/>
    </row>
    <row r="99" spans="2:5" ht="13.5" thickBot="1">
      <c r="B99" s="27"/>
      <c r="C99" s="6"/>
      <c r="D99" s="6"/>
      <c r="E99" s="39"/>
    </row>
    <row r="100" spans="2:5" ht="13.5" thickBot="1">
      <c r="B100" s="25"/>
      <c r="C100" s="26"/>
      <c r="D100" s="26"/>
      <c r="E100" s="42"/>
    </row>
    <row r="101" spans="2:5" ht="12.75">
      <c r="B101" s="2"/>
      <c r="D101" s="68"/>
      <c r="E101" s="66"/>
    </row>
    <row r="102" spans="2:5" ht="12.75">
      <c r="B102" s="2"/>
      <c r="D102" s="15"/>
      <c r="E102" s="34"/>
    </row>
    <row r="103" spans="2:5" ht="12.75">
      <c r="B103" s="2"/>
      <c r="D103" s="68"/>
      <c r="E103" s="66"/>
    </row>
    <row r="104" spans="2:5" ht="12.75">
      <c r="B104" s="2"/>
      <c r="D104" s="15"/>
      <c r="E104" s="34"/>
    </row>
    <row r="105" spans="2:5" ht="12.75">
      <c r="B105" s="2"/>
      <c r="D105" s="15"/>
      <c r="E105" s="33"/>
    </row>
    <row r="106" spans="2:5" ht="12.75">
      <c r="B106" s="2"/>
      <c r="D106" s="15"/>
      <c r="E106" s="34"/>
    </row>
    <row r="107" spans="2:5" ht="12.75">
      <c r="B107" s="2"/>
      <c r="D107" s="68"/>
      <c r="E107" s="66"/>
    </row>
    <row r="108" spans="2:5" ht="12.75">
      <c r="B108" s="2"/>
      <c r="D108" s="15"/>
      <c r="E108" s="34"/>
    </row>
    <row r="109" spans="2:5" ht="12.75">
      <c r="B109" s="2"/>
      <c r="D109" s="68"/>
      <c r="E109" s="66"/>
    </row>
    <row r="110" spans="2:5" ht="12.75">
      <c r="B110" s="2"/>
      <c r="D110" s="15"/>
      <c r="E110" s="34"/>
    </row>
    <row r="111" spans="2:5" ht="12.75">
      <c r="B111" s="2"/>
      <c r="D111" s="68"/>
      <c r="E111" s="66"/>
    </row>
    <row r="112" spans="2:5" ht="12.75">
      <c r="B112" s="1"/>
      <c r="D112" s="15"/>
      <c r="E112" s="34"/>
    </row>
    <row r="113" spans="2:5" ht="12.75">
      <c r="B113" s="52"/>
      <c r="C113" s="53"/>
      <c r="D113" s="70"/>
      <c r="E113" s="67"/>
    </row>
    <row r="114" spans="2:5" ht="12.75">
      <c r="B114" s="1"/>
      <c r="D114" s="28"/>
      <c r="E114" s="36"/>
    </row>
    <row r="115" spans="2:5" ht="13.5" thickBot="1">
      <c r="B115" s="19"/>
      <c r="E115" s="33"/>
    </row>
    <row r="116" spans="2:5" ht="13.5" thickBot="1">
      <c r="B116" s="25"/>
      <c r="C116" s="26"/>
      <c r="D116" s="26"/>
      <c r="E116" s="42"/>
    </row>
    <row r="117" spans="2:5" ht="12.75">
      <c r="B117" s="1"/>
      <c r="D117" s="68"/>
      <c r="E117" s="66"/>
    </row>
    <row r="118" spans="2:5" ht="12.75">
      <c r="B118" s="2"/>
      <c r="D118" s="15"/>
      <c r="E118" s="34"/>
    </row>
    <row r="119" spans="2:5" ht="13.5" thickBot="1">
      <c r="B119" s="24"/>
      <c r="E119" s="33"/>
    </row>
    <row r="120" spans="2:5" ht="13.5" thickBot="1">
      <c r="B120" s="22"/>
      <c r="C120" s="21"/>
      <c r="D120" s="21"/>
      <c r="E120" s="41"/>
    </row>
    <row r="121" spans="2:5" ht="12.75">
      <c r="B121" s="1"/>
      <c r="D121" s="15"/>
      <c r="E121" s="33"/>
    </row>
    <row r="122" spans="2:5" ht="12.75">
      <c r="B122" s="1"/>
      <c r="D122" s="15"/>
      <c r="E122" s="34"/>
    </row>
    <row r="123" spans="2:5" ht="12.75">
      <c r="B123" s="1"/>
      <c r="D123" s="15"/>
      <c r="E123" s="33"/>
    </row>
    <row r="124" spans="2:5" ht="12.75">
      <c r="B124" s="1"/>
      <c r="D124" s="15"/>
      <c r="E124" s="34"/>
    </row>
    <row r="125" spans="2:5" ht="12.75">
      <c r="B125" s="1"/>
      <c r="D125" s="15"/>
      <c r="E125" s="33"/>
    </row>
    <row r="126" spans="2:5" ht="12.75">
      <c r="B126" s="2"/>
      <c r="D126" s="15"/>
      <c r="E126" s="34"/>
    </row>
    <row r="127" spans="2:5" ht="12.75">
      <c r="B127" s="1"/>
      <c r="D127" s="15"/>
      <c r="E127" s="33"/>
    </row>
    <row r="128" spans="2:5" ht="12.75">
      <c r="B128" s="1"/>
      <c r="D128" s="15"/>
      <c r="E128" s="34"/>
    </row>
    <row r="129" spans="2:5" ht="12.75">
      <c r="B129" s="52"/>
      <c r="C129" s="53"/>
      <c r="D129" s="28"/>
      <c r="E129" s="76"/>
    </row>
    <row r="130" spans="2:5" ht="12.75">
      <c r="B130" s="1"/>
      <c r="D130" s="28"/>
      <c r="E130" s="36"/>
    </row>
    <row r="131" spans="2:5" ht="12.75">
      <c r="B131" s="2"/>
      <c r="D131" s="15"/>
      <c r="E131" s="34"/>
    </row>
    <row r="132" spans="2:5" ht="12.75">
      <c r="B132" s="6"/>
      <c r="C132" s="6"/>
      <c r="D132" s="6"/>
      <c r="E132" s="39"/>
    </row>
    <row r="133" spans="2:5" ht="12.75">
      <c r="B133" s="32" t="s">
        <v>9</v>
      </c>
      <c r="C133" s="6"/>
      <c r="D133" s="6"/>
      <c r="E133" s="39"/>
    </row>
    <row r="134" spans="2:5" ht="12.75">
      <c r="B134" s="32"/>
      <c r="C134" s="6"/>
      <c r="D134" s="6"/>
      <c r="E134" s="39"/>
    </row>
    <row r="135" ht="12.75">
      <c r="E135" s="33"/>
    </row>
    <row r="136" ht="12.75">
      <c r="E136" s="33"/>
    </row>
    <row r="137" spans="2:5" ht="12.75">
      <c r="B137" s="7"/>
      <c r="C137" s="6"/>
      <c r="D137" s="6"/>
      <c r="E137" s="75"/>
    </row>
  </sheetData>
  <printOptions gridLines="1"/>
  <pageMargins left="0.31" right="0.5" top="0.59" bottom="0.69" header="0.33" footer="0.34"/>
  <pageSetup orientation="landscape" scale="80" r:id="rId1"/>
  <headerFooter alignWithMargins="0">
    <oddHeader>&amp;L&amp;"MS Sans Serif,Bold"&amp;12Component/Area Master</oddHeader>
    <oddFooter>&amp;L&amp;F&amp;CPage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5"/>
  <sheetViews>
    <sheetView workbookViewId="0" topLeftCell="A1">
      <selection activeCell="I144" sqref="A144:I158"/>
    </sheetView>
  </sheetViews>
  <sheetFormatPr defaultColWidth="9.140625" defaultRowHeight="12.75"/>
  <cols>
    <col min="2" max="2" width="16.421875" style="0" customWidth="1"/>
    <col min="3" max="3" width="10.00390625" style="0" customWidth="1"/>
    <col min="4" max="4" width="10.421875" style="0" customWidth="1"/>
    <col min="5" max="5" width="11.140625" style="0" customWidth="1"/>
    <col min="6" max="6" width="10.421875" style="0" customWidth="1"/>
    <col min="7" max="7" width="11.00390625" style="0" customWidth="1"/>
    <col min="8" max="8" width="10.00390625" style="0" customWidth="1"/>
    <col min="9" max="9" width="10.140625" style="0" customWidth="1"/>
    <col min="10" max="10" width="8.8515625" style="0" customWidth="1"/>
  </cols>
  <sheetData>
    <row r="1" spans="1:10" ht="15.75">
      <c r="A1" s="13" t="s">
        <v>0</v>
      </c>
      <c r="B1" s="14"/>
      <c r="C1" s="12"/>
      <c r="D1" s="12"/>
      <c r="E1" s="12"/>
      <c r="F1" s="12"/>
      <c r="G1" s="12"/>
      <c r="H1" s="12"/>
      <c r="I1" s="12"/>
      <c r="J1" s="12"/>
    </row>
    <row r="2" spans="1:8" ht="12.75">
      <c r="A2" s="77" t="s">
        <v>42</v>
      </c>
      <c r="B2" s="78"/>
      <c r="C2" s="78" t="s">
        <v>66</v>
      </c>
      <c r="D2" s="78"/>
      <c r="E2" s="78" t="s">
        <v>43</v>
      </c>
      <c r="F2" s="78"/>
      <c r="G2" s="78"/>
      <c r="H2" s="78" t="s">
        <v>44</v>
      </c>
    </row>
    <row r="3" spans="1:8" ht="12.75">
      <c r="A3" s="1" t="s">
        <v>37</v>
      </c>
      <c r="C3" s="1">
        <v>3</v>
      </c>
      <c r="E3" t="s">
        <v>46</v>
      </c>
      <c r="H3" s="2" t="s">
        <v>2</v>
      </c>
    </row>
    <row r="4" spans="1:8" ht="12.75">
      <c r="A4" s="1" t="s">
        <v>38</v>
      </c>
      <c r="C4" s="1">
        <v>4</v>
      </c>
      <c r="E4" t="s">
        <v>46</v>
      </c>
      <c r="H4" s="2" t="s">
        <v>70</v>
      </c>
    </row>
    <row r="5" spans="1:8" ht="12.75">
      <c r="A5" s="1" t="s">
        <v>39</v>
      </c>
      <c r="C5" s="1">
        <v>6</v>
      </c>
      <c r="E5" t="s">
        <v>46</v>
      </c>
      <c r="H5" s="2" t="s">
        <v>36</v>
      </c>
    </row>
    <row r="6" spans="1:8" ht="12.75">
      <c r="A6" s="1" t="s">
        <v>40</v>
      </c>
      <c r="C6" s="1">
        <v>10</v>
      </c>
      <c r="E6" t="s">
        <v>46</v>
      </c>
      <c r="H6" t="s">
        <v>6</v>
      </c>
    </row>
    <row r="7" spans="1:8" ht="12.75">
      <c r="A7" s="1" t="s">
        <v>41</v>
      </c>
      <c r="C7" s="1">
        <v>12</v>
      </c>
      <c r="E7" t="s">
        <v>46</v>
      </c>
      <c r="H7" t="s">
        <v>8</v>
      </c>
    </row>
    <row r="8" spans="1:5" ht="15.75" customHeight="1">
      <c r="A8" t="s">
        <v>47</v>
      </c>
      <c r="C8" t="s">
        <v>48</v>
      </c>
      <c r="E8" t="s">
        <v>49</v>
      </c>
    </row>
    <row r="9" ht="15.75" customHeight="1" thickBot="1"/>
    <row r="10" spans="1:11" ht="15.75" customHeight="1" thickBot="1">
      <c r="A10" s="16" t="s">
        <v>10</v>
      </c>
      <c r="B10" s="17"/>
      <c r="C10" s="17" t="s">
        <v>9</v>
      </c>
      <c r="D10" s="17"/>
      <c r="E10" s="17" t="str">
        <f>$A$3</f>
        <v>Plywd A</v>
      </c>
      <c r="F10" s="17" t="str">
        <f>$A$4</f>
        <v>Plywd B</v>
      </c>
      <c r="G10" s="17" t="str">
        <f>$A$5</f>
        <v>Plywd C</v>
      </c>
      <c r="H10" s="17" t="str">
        <f>$A$6</f>
        <v>Plywd D</v>
      </c>
      <c r="I10" s="17" t="str">
        <f>$A$7</f>
        <v>Plywd E</v>
      </c>
      <c r="J10" s="17"/>
      <c r="K10" s="17" t="str">
        <f>$A$8</f>
        <v>Spruce</v>
      </c>
    </row>
    <row r="11" spans="4:11" ht="12.75">
      <c r="D11" s="33"/>
      <c r="E11" s="33"/>
      <c r="F11" s="33"/>
      <c r="G11" s="33"/>
      <c r="H11" s="33"/>
      <c r="I11" s="33"/>
      <c r="J11" s="33"/>
      <c r="K11" s="33"/>
    </row>
    <row r="12" spans="1:11" ht="12.75">
      <c r="A12" s="2" t="str">
        <f>master!B4</f>
        <v>ring surface one modul</v>
      </c>
      <c r="C12" s="68" t="s">
        <v>11</v>
      </c>
      <c r="D12" s="66">
        <f>master!E4</f>
        <v>99</v>
      </c>
      <c r="F12" s="66"/>
      <c r="G12" s="66">
        <v>0</v>
      </c>
      <c r="H12" s="66">
        <f>D12</f>
        <v>99</v>
      </c>
      <c r="I12" s="66">
        <v>0</v>
      </c>
      <c r="J12" s="66" t="s">
        <v>50</v>
      </c>
      <c r="K12" s="66">
        <v>0</v>
      </c>
    </row>
    <row r="13" spans="1:11" ht="12.75">
      <c r="A13" s="2"/>
      <c r="C13" s="15" t="s">
        <v>12</v>
      </c>
      <c r="D13" s="34">
        <f>master!E5</f>
        <v>9.197400960000001</v>
      </c>
      <c r="F13" s="34"/>
      <c r="G13" s="34">
        <f>SUM(G12*0.09290304)</f>
        <v>0</v>
      </c>
      <c r="H13" s="34">
        <f>SUM(H12*0.09290304)</f>
        <v>9.197400960000001</v>
      </c>
      <c r="I13" s="34">
        <f>SUM(I12*0.09290304)</f>
        <v>0</v>
      </c>
      <c r="J13" s="34"/>
      <c r="K13" s="34">
        <f>SUM(K12*0.09290304)</f>
        <v>0</v>
      </c>
    </row>
    <row r="14" spans="1:11" ht="12.75" customHeight="1">
      <c r="A14" s="1" t="str">
        <f>master!B6</f>
        <v>total 6 modules</v>
      </c>
      <c r="C14" s="68" t="s">
        <v>11</v>
      </c>
      <c r="D14" s="66">
        <f>master!E6</f>
        <v>594</v>
      </c>
      <c r="F14" s="66"/>
      <c r="G14" s="66"/>
      <c r="H14" s="66">
        <f>H12*6</f>
        <v>594</v>
      </c>
      <c r="I14" s="66"/>
      <c r="J14" s="66"/>
      <c r="K14" s="66"/>
    </row>
    <row r="15" spans="1:11" ht="12.75" customHeight="1">
      <c r="A15" s="1"/>
      <c r="C15" s="15" t="s">
        <v>12</v>
      </c>
      <c r="D15" s="34">
        <f>master!E7</f>
        <v>55.184405760000004</v>
      </c>
      <c r="F15" s="34"/>
      <c r="G15" s="34"/>
      <c r="H15" s="34">
        <f>SUM(H14*0.09290304)</f>
        <v>55.184405760000004</v>
      </c>
      <c r="I15" s="34"/>
      <c r="J15" s="66" t="s">
        <v>50</v>
      </c>
      <c r="K15" s="34"/>
    </row>
    <row r="16" spans="1:11" ht="12.75" customHeight="1">
      <c r="A16" t="s">
        <v>98</v>
      </c>
      <c r="D16" s="33"/>
      <c r="E16" s="33"/>
      <c r="F16" s="33"/>
      <c r="G16" s="33"/>
      <c r="H16" s="66">
        <f>H14/32</f>
        <v>18.5625</v>
      </c>
      <c r="I16" s="33"/>
      <c r="J16" s="33"/>
      <c r="K16" s="33"/>
    </row>
    <row r="17" spans="4:11" ht="12.75" customHeight="1" thickBot="1">
      <c r="D17" s="33"/>
      <c r="E17" s="33"/>
      <c r="F17" s="33"/>
      <c r="G17" s="33"/>
      <c r="H17" s="34"/>
      <c r="I17" s="33"/>
      <c r="J17" s="33"/>
      <c r="K17" s="33"/>
    </row>
    <row r="18" spans="1:11" ht="12.75" customHeight="1" thickBot="1">
      <c r="A18" s="16" t="s">
        <v>13</v>
      </c>
      <c r="B18" s="17"/>
      <c r="C18" s="17"/>
      <c r="D18" s="35"/>
      <c r="E18" s="17" t="str">
        <f>$A$3</f>
        <v>Plywd A</v>
      </c>
      <c r="F18" s="17" t="str">
        <f>$A$4</f>
        <v>Plywd B</v>
      </c>
      <c r="G18" s="17" t="str">
        <f>$A$5</f>
        <v>Plywd C</v>
      </c>
      <c r="H18" s="17" t="str">
        <f>$A$6</f>
        <v>Plywd D</v>
      </c>
      <c r="I18" s="17" t="str">
        <f>$A$7</f>
        <v>Plywd E</v>
      </c>
      <c r="J18" s="17"/>
      <c r="K18" s="17" t="str">
        <f>$A$8</f>
        <v>Spruce</v>
      </c>
    </row>
    <row r="19" spans="1:11" ht="12.75">
      <c r="A19" s="2" t="str">
        <f>master!B11</f>
        <v>1 wall</v>
      </c>
      <c r="C19" s="68" t="s">
        <v>11</v>
      </c>
      <c r="D19" s="66">
        <f>master!E11</f>
        <v>23.4</v>
      </c>
      <c r="E19" s="66"/>
      <c r="F19" s="66">
        <f>D19*2</f>
        <v>46.8</v>
      </c>
      <c r="I19" s="66" t="s">
        <v>9</v>
      </c>
      <c r="J19" s="66" t="s">
        <v>50</v>
      </c>
      <c r="K19" s="66" t="s">
        <v>9</v>
      </c>
    </row>
    <row r="20" spans="1:11" ht="12.75">
      <c r="A20" s="2"/>
      <c r="C20" s="15" t="s">
        <v>12</v>
      </c>
      <c r="D20" s="34">
        <f>SUM(D19*0.09290304)</f>
        <v>2.173931136</v>
      </c>
      <c r="E20" s="34"/>
      <c r="F20" s="34">
        <f>SUM(F19*0.09290304)</f>
        <v>4.347862272</v>
      </c>
      <c r="I20" s="34"/>
      <c r="J20" s="34"/>
      <c r="K20" s="34"/>
    </row>
    <row r="21" spans="1:11" ht="12.75">
      <c r="A21" s="1" t="str">
        <f>master!B13</f>
        <v>2 wall</v>
      </c>
      <c r="C21" s="68" t="s">
        <v>11</v>
      </c>
      <c r="D21" s="66">
        <f>master!E13</f>
        <v>48</v>
      </c>
      <c r="E21" s="66"/>
      <c r="F21" s="66">
        <f>D21*2</f>
        <v>96</v>
      </c>
      <c r="I21" s="66" t="s">
        <v>9</v>
      </c>
      <c r="J21" s="66" t="s">
        <v>50</v>
      </c>
      <c r="K21" s="66" t="s">
        <v>9</v>
      </c>
    </row>
    <row r="22" spans="1:11" ht="12.75">
      <c r="A22" s="1"/>
      <c r="C22" s="15" t="s">
        <v>12</v>
      </c>
      <c r="D22" s="34">
        <f>SUM(D21*0.09290304)</f>
        <v>4.4593459200000005</v>
      </c>
      <c r="E22" s="34"/>
      <c r="F22" s="34">
        <f>SUM(F21*0.09290304)</f>
        <v>8.918691840000001</v>
      </c>
      <c r="I22" s="34"/>
      <c r="J22" s="34"/>
      <c r="K22" s="34"/>
    </row>
    <row r="23" spans="1:11" ht="12.75">
      <c r="A23" s="2" t="str">
        <f>master!B15</f>
        <v>3 wall</v>
      </c>
      <c r="C23" s="68" t="s">
        <v>11</v>
      </c>
      <c r="D23" s="66">
        <f>master!E15</f>
        <v>25.7</v>
      </c>
      <c r="E23" s="66"/>
      <c r="F23" s="66">
        <f>D23*2</f>
        <v>51.4</v>
      </c>
      <c r="I23" s="66" t="s">
        <v>9</v>
      </c>
      <c r="J23" s="66" t="s">
        <v>50</v>
      </c>
      <c r="K23" s="66" t="s">
        <v>9</v>
      </c>
    </row>
    <row r="24" spans="1:11" ht="12.75">
      <c r="A24" s="2"/>
      <c r="C24" s="15" t="s">
        <v>12</v>
      </c>
      <c r="D24" s="34">
        <f>SUM(D23*0.09290304)</f>
        <v>2.387608128</v>
      </c>
      <c r="E24" s="34"/>
      <c r="F24" s="34">
        <f>SUM(F23*0.09290304)</f>
        <v>4.775216256</v>
      </c>
      <c r="I24" s="34"/>
      <c r="J24" s="34"/>
      <c r="K24" s="34"/>
    </row>
    <row r="25" spans="1:11" ht="12.75">
      <c r="A25" s="1" t="str">
        <f>master!B17</f>
        <v>4 wall</v>
      </c>
      <c r="C25" s="68" t="s">
        <v>11</v>
      </c>
      <c r="D25" s="66">
        <f>master!E17</f>
        <v>48</v>
      </c>
      <c r="E25" s="66"/>
      <c r="F25" s="66">
        <f>D25*2</f>
        <v>96</v>
      </c>
      <c r="I25" s="66"/>
      <c r="J25" s="66" t="s">
        <v>50</v>
      </c>
      <c r="K25" s="66"/>
    </row>
    <row r="26" spans="1:11" ht="12.75">
      <c r="A26" s="1"/>
      <c r="C26" s="15" t="s">
        <v>12</v>
      </c>
      <c r="D26" s="34">
        <f>SUM(D25*0.09290304)</f>
        <v>4.4593459200000005</v>
      </c>
      <c r="E26" s="34"/>
      <c r="F26" s="34">
        <f>SUM(F25*0.09290304)</f>
        <v>8.918691840000001</v>
      </c>
      <c r="I26" s="34"/>
      <c r="J26" s="34"/>
      <c r="K26" s="34"/>
    </row>
    <row r="27" spans="1:11" ht="12.75">
      <c r="A27" s="1" t="str">
        <f>master!B19</f>
        <v>5 wall</v>
      </c>
      <c r="C27" s="68" t="s">
        <v>11</v>
      </c>
      <c r="D27" s="66">
        <f>master!E19</f>
        <v>24</v>
      </c>
      <c r="E27" s="66"/>
      <c r="F27" s="66">
        <f>D27*2</f>
        <v>48</v>
      </c>
      <c r="I27" s="66"/>
      <c r="J27" s="66" t="s">
        <v>50</v>
      </c>
      <c r="K27" s="66"/>
    </row>
    <row r="28" spans="1:11" ht="12.75">
      <c r="A28" s="1"/>
      <c r="C28" s="15" t="s">
        <v>12</v>
      </c>
      <c r="D28" s="34">
        <f>SUM(D27*0.09290304)</f>
        <v>2.2296729600000003</v>
      </c>
      <c r="E28" s="34"/>
      <c r="F28" s="34">
        <f>SUM(F27*0.09290304)</f>
        <v>4.4593459200000005</v>
      </c>
      <c r="I28" s="34"/>
      <c r="J28" s="34"/>
      <c r="K28" s="34"/>
    </row>
    <row r="29" spans="1:11" ht="12.75">
      <c r="A29" s="1" t="str">
        <f>master!B21</f>
        <v>6 wall</v>
      </c>
      <c r="C29" s="68" t="s">
        <v>11</v>
      </c>
      <c r="D29" s="66">
        <f>master!E21</f>
        <v>11</v>
      </c>
      <c r="E29" s="66"/>
      <c r="F29" s="66">
        <f>D29*2</f>
        <v>22</v>
      </c>
      <c r="I29" s="66"/>
      <c r="J29" s="66" t="s">
        <v>50</v>
      </c>
      <c r="K29" s="66"/>
    </row>
    <row r="30" spans="1:11" ht="12.75">
      <c r="A30" s="1"/>
      <c r="C30" s="15" t="s">
        <v>12</v>
      </c>
      <c r="D30" s="34">
        <f>SUM(D29*0.09290304)</f>
        <v>1.02193344</v>
      </c>
      <c r="E30" s="34"/>
      <c r="F30" s="34">
        <f>SUM(F29*0.09290304)</f>
        <v>2.04386688</v>
      </c>
      <c r="I30" s="34"/>
      <c r="J30" s="34"/>
      <c r="K30" s="34"/>
    </row>
    <row r="31" spans="1:11" ht="12.75">
      <c r="A31" s="1" t="str">
        <f>master!B23</f>
        <v>galley expansion</v>
      </c>
      <c r="C31" s="68" t="s">
        <v>11</v>
      </c>
      <c r="D31" s="66">
        <f>master!E23</f>
        <v>49</v>
      </c>
      <c r="E31" s="66"/>
      <c r="F31" s="66">
        <f>D31*2</f>
        <v>98</v>
      </c>
      <c r="I31" s="66"/>
      <c r="J31" s="66" t="s">
        <v>50</v>
      </c>
      <c r="K31" s="66"/>
    </row>
    <row r="32" spans="1:11" ht="12.75">
      <c r="A32" s="1"/>
      <c r="C32" s="15" t="s">
        <v>12</v>
      </c>
      <c r="D32" s="34">
        <f>SUM(D31*0.09290304)</f>
        <v>4.55224896</v>
      </c>
      <c r="E32" s="34"/>
      <c r="F32" s="34">
        <f>SUM(F31*0.09290304)</f>
        <v>9.10449792</v>
      </c>
      <c r="I32" s="34"/>
      <c r="J32" s="34"/>
      <c r="K32" s="34"/>
    </row>
    <row r="33" spans="1:11" ht="12.75">
      <c r="A33" s="1" t="str">
        <f>master!B25</f>
        <v>head expansion</v>
      </c>
      <c r="C33" s="68" t="s">
        <v>11</v>
      </c>
      <c r="D33" s="66">
        <f>master!E25</f>
        <v>84</v>
      </c>
      <c r="E33" s="66"/>
      <c r="F33" s="66">
        <f>D33*2</f>
        <v>168</v>
      </c>
      <c r="I33" s="66"/>
      <c r="J33" s="66" t="s">
        <v>50</v>
      </c>
      <c r="K33" s="66"/>
    </row>
    <row r="34" spans="1:11" ht="12.75">
      <c r="A34" s="1"/>
      <c r="C34" s="15" t="s">
        <v>12</v>
      </c>
      <c r="D34" s="34">
        <f>SUM(D33*0.09290304)</f>
        <v>7.803855360000001</v>
      </c>
      <c r="E34" s="34"/>
      <c r="F34" s="34">
        <f>SUM(F33*0.09290304)</f>
        <v>15.607710720000002</v>
      </c>
      <c r="I34" s="34"/>
      <c r="J34" s="34"/>
      <c r="K34" s="34"/>
    </row>
    <row r="35" spans="1:11" ht="12.75">
      <c r="A35" s="1" t="str">
        <f>master!B27</f>
        <v>stitting expansion</v>
      </c>
      <c r="C35" s="68" t="s">
        <v>11</v>
      </c>
      <c r="D35" s="66">
        <f>plywood!D21</f>
        <v>48</v>
      </c>
      <c r="E35" s="66"/>
      <c r="F35" s="66">
        <f>D35*2</f>
        <v>96</v>
      </c>
      <c r="I35" s="66"/>
      <c r="J35" s="66" t="s">
        <v>50</v>
      </c>
      <c r="K35" s="66"/>
    </row>
    <row r="36" spans="1:11" ht="12.75">
      <c r="A36" s="1"/>
      <c r="C36" s="15" t="s">
        <v>12</v>
      </c>
      <c r="D36" s="34">
        <f>SUM(D35*0.09290304)</f>
        <v>4.4593459200000005</v>
      </c>
      <c r="E36" s="34"/>
      <c r="F36" s="34">
        <f>SUM(F35*0.09290304)</f>
        <v>8.918691840000001</v>
      </c>
      <c r="I36" s="34"/>
      <c r="J36" s="34"/>
      <c r="K36" s="34"/>
    </row>
    <row r="37" spans="1:11" ht="12.75">
      <c r="A37" s="1" t="str">
        <f>master!B29</f>
        <v>round expansion</v>
      </c>
      <c r="C37" s="68" t="s">
        <v>11</v>
      </c>
      <c r="D37" s="66">
        <f>plywood!D23</f>
        <v>25.7</v>
      </c>
      <c r="E37" s="66"/>
      <c r="F37" s="66">
        <f>D37*2</f>
        <v>51.4</v>
      </c>
      <c r="I37" s="66"/>
      <c r="J37" s="66" t="s">
        <v>50</v>
      </c>
      <c r="K37" s="66"/>
    </row>
    <row r="38" spans="1:11" ht="12.75">
      <c r="A38" s="1"/>
      <c r="C38" s="15" t="s">
        <v>12</v>
      </c>
      <c r="D38" s="34">
        <f>SUM(D37*0.09290304)</f>
        <v>2.387608128</v>
      </c>
      <c r="E38" s="34"/>
      <c r="F38" s="34">
        <f>SUM(F37*0.09290304)</f>
        <v>4.775216256</v>
      </c>
      <c r="I38" s="34"/>
      <c r="J38" s="34"/>
      <c r="K38" s="34"/>
    </row>
    <row r="39" spans="1:11" ht="12.75">
      <c r="A39" s="1" t="str">
        <f>master!B31</f>
        <v>lounge base</v>
      </c>
      <c r="C39" s="68" t="s">
        <v>11</v>
      </c>
      <c r="D39" s="66">
        <f>master!E31</f>
        <v>99</v>
      </c>
      <c r="E39" s="66"/>
      <c r="F39" s="66">
        <f>D39*2</f>
        <v>198</v>
      </c>
      <c r="I39" s="66"/>
      <c r="J39" s="66" t="s">
        <v>50</v>
      </c>
      <c r="K39" s="66"/>
    </row>
    <row r="40" spans="1:11" ht="12.75">
      <c r="A40" s="1"/>
      <c r="C40" s="15" t="s">
        <v>12</v>
      </c>
      <c r="D40" s="34">
        <f>SUM(D39*0.09290304)</f>
        <v>9.197400960000001</v>
      </c>
      <c r="E40" s="34"/>
      <c r="F40" s="34">
        <f>SUM(F39*0.09290304)</f>
        <v>18.394801920000003</v>
      </c>
      <c r="I40" s="34"/>
      <c r="J40" s="34"/>
      <c r="K40" s="34"/>
    </row>
    <row r="41" spans="1:11" ht="12.75">
      <c r="A41" s="1" t="str">
        <f>master!B33</f>
        <v>main floor</v>
      </c>
      <c r="C41" s="68" t="s">
        <v>11</v>
      </c>
      <c r="D41" s="66">
        <f>master!E33</f>
        <v>55</v>
      </c>
      <c r="E41" s="66"/>
      <c r="F41" s="66">
        <f>D41*2</f>
        <v>110</v>
      </c>
      <c r="I41" s="66"/>
      <c r="J41" s="66" t="s">
        <v>50</v>
      </c>
      <c r="K41" s="66"/>
    </row>
    <row r="42" spans="1:11" ht="12.75">
      <c r="A42" s="1"/>
      <c r="C42" s="15" t="s">
        <v>12</v>
      </c>
      <c r="D42" s="34">
        <f>SUM(D41*0.09290304)</f>
        <v>5.1096672000000005</v>
      </c>
      <c r="E42" s="34"/>
      <c r="F42" s="34">
        <f>SUM(F41*0.09290304)</f>
        <v>10.219334400000001</v>
      </c>
      <c r="I42" s="34"/>
      <c r="J42" s="34"/>
      <c r="K42" s="34"/>
    </row>
    <row r="43" spans="1:11" ht="12.75">
      <c r="A43" s="1" t="str">
        <f>master!B35</f>
        <v>door</v>
      </c>
      <c r="C43" s="68" t="s">
        <v>11</v>
      </c>
      <c r="D43" s="66">
        <f>master!E35</f>
        <v>36.5</v>
      </c>
      <c r="E43" s="66"/>
      <c r="F43" s="66">
        <f>D43*2</f>
        <v>73</v>
      </c>
      <c r="I43" s="66"/>
      <c r="J43" s="66" t="s">
        <v>50</v>
      </c>
      <c r="K43" s="66"/>
    </row>
    <row r="44" spans="1:11" ht="12.75">
      <c r="A44" s="1"/>
      <c r="C44" s="15" t="s">
        <v>12</v>
      </c>
      <c r="D44" s="34">
        <f>SUM(D43*0.09290304)</f>
        <v>3.39096096</v>
      </c>
      <c r="E44" s="34"/>
      <c r="F44" s="34">
        <f>SUM(F43*0.09290304)</f>
        <v>6.78192192</v>
      </c>
      <c r="I44" s="34"/>
      <c r="J44" s="34"/>
      <c r="K44" s="34"/>
    </row>
    <row r="45" spans="1:11" ht="12.75">
      <c r="A45" s="1" t="str">
        <f>master!B37</f>
        <v>top</v>
      </c>
      <c r="C45" s="68" t="s">
        <v>11</v>
      </c>
      <c r="D45" s="66">
        <f>master!E37</f>
        <v>55</v>
      </c>
      <c r="E45" s="66"/>
      <c r="F45" s="66">
        <f>D45*2</f>
        <v>110</v>
      </c>
      <c r="I45" s="66"/>
      <c r="J45" s="66" t="s">
        <v>50</v>
      </c>
      <c r="K45" s="66"/>
    </row>
    <row r="46" spans="1:11" ht="12.75">
      <c r="A46" s="1"/>
      <c r="C46" s="15" t="s">
        <v>12</v>
      </c>
      <c r="D46" s="34">
        <f>SUM(D45*0.09290304)</f>
        <v>5.1096672000000005</v>
      </c>
      <c r="E46" s="34"/>
      <c r="F46" s="34">
        <f>SUM(F45*0.09290304)</f>
        <v>10.219334400000001</v>
      </c>
      <c r="I46" s="34"/>
      <c r="J46" s="34"/>
      <c r="K46" s="34"/>
    </row>
    <row r="47" spans="1:11" ht="12.75">
      <c r="A47" s="1" t="str">
        <f>master!B39</f>
        <v>6 lounge walls</v>
      </c>
      <c r="C47" s="68" t="s">
        <v>11</v>
      </c>
      <c r="D47" s="66">
        <f>master!E39</f>
        <v>229</v>
      </c>
      <c r="E47" s="66"/>
      <c r="F47" s="66">
        <f>D47*2</f>
        <v>458</v>
      </c>
      <c r="I47" s="66"/>
      <c r="J47" s="66" t="s">
        <v>50</v>
      </c>
      <c r="K47" s="66"/>
    </row>
    <row r="48" spans="1:11" ht="12.75">
      <c r="A48" s="1"/>
      <c r="C48" s="15" t="s">
        <v>12</v>
      </c>
      <c r="D48" s="34">
        <f>SUM(D47*0.09290304)</f>
        <v>21.27479616</v>
      </c>
      <c r="E48" s="34"/>
      <c r="F48" s="34">
        <f>SUM(F47*0.09290304)</f>
        <v>42.54959232</v>
      </c>
      <c r="I48" s="34"/>
      <c r="J48" s="34"/>
      <c r="K48" s="34"/>
    </row>
    <row r="49" spans="1:11" ht="12.75">
      <c r="A49" s="1" t="str">
        <f>master!B41</f>
        <v>bed panel</v>
      </c>
      <c r="C49" s="68" t="s">
        <v>11</v>
      </c>
      <c r="D49" s="66">
        <f>master!E41</f>
        <v>30</v>
      </c>
      <c r="E49" s="66"/>
      <c r="F49" s="66">
        <f>D49*2</f>
        <v>60</v>
      </c>
      <c r="I49" s="66"/>
      <c r="J49" s="66" t="s">
        <v>50</v>
      </c>
      <c r="K49" s="66"/>
    </row>
    <row r="50" spans="1:11" ht="12.75">
      <c r="A50" s="1"/>
      <c r="C50" s="15" t="s">
        <v>12</v>
      </c>
      <c r="D50" s="34">
        <f>SUM(D49*0.09290304)</f>
        <v>2.7870912000000003</v>
      </c>
      <c r="E50" s="34"/>
      <c r="F50" s="34">
        <f>SUM(F49*0.09290304)</f>
        <v>5.574182400000001</v>
      </c>
      <c r="I50" s="34"/>
      <c r="J50" s="34"/>
      <c r="K50" s="34"/>
    </row>
    <row r="51" spans="1:11" ht="12.75">
      <c r="A51" s="52" t="s">
        <v>14</v>
      </c>
      <c r="B51" s="53"/>
      <c r="C51" s="70" t="s">
        <v>11</v>
      </c>
      <c r="D51" s="67">
        <f>SUM(D19+D21+D23+D25+D27+D29+D31+D33+D35+D37+D39+D41+D43+D45+D47+D49)</f>
        <v>891.3</v>
      </c>
      <c r="E51" s="67"/>
      <c r="F51" s="67">
        <f>SUM(F19+F21+F23+F25+F27+F29+F31+F33+F35+F37+F39+F41+F43+F45+F47+F49)</f>
        <v>1782.6</v>
      </c>
      <c r="I51" s="67"/>
      <c r="J51" s="66" t="s">
        <v>50</v>
      </c>
      <c r="K51" s="67"/>
    </row>
    <row r="52" spans="1:11" ht="12.75">
      <c r="A52" s="1"/>
      <c r="C52" s="28" t="s">
        <v>12</v>
      </c>
      <c r="D52" s="36">
        <f>SUM(D51*0.09290304)</f>
        <v>82.804479552</v>
      </c>
      <c r="E52" s="36"/>
      <c r="F52" s="36">
        <f>SUM(F51*0.09290304)</f>
        <v>165.608959104</v>
      </c>
      <c r="I52" s="36"/>
      <c r="J52" s="36"/>
      <c r="K52" s="36"/>
    </row>
    <row r="53" spans="1:11" ht="12.75">
      <c r="A53" s="1" t="s">
        <v>98</v>
      </c>
      <c r="C53" s="68" t="s">
        <v>11</v>
      </c>
      <c r="D53" s="66">
        <v>0</v>
      </c>
      <c r="E53" s="66"/>
      <c r="F53" s="66">
        <f>F51/32</f>
        <v>55.70625</v>
      </c>
      <c r="I53" s="66"/>
      <c r="J53" s="66" t="s">
        <v>50</v>
      </c>
      <c r="K53" s="66"/>
    </row>
    <row r="54" spans="1:11" ht="12.75">
      <c r="A54" s="1"/>
      <c r="C54" s="15" t="s">
        <v>12</v>
      </c>
      <c r="D54" s="34">
        <f>SUM(D53*0.09290304)</f>
        <v>0</v>
      </c>
      <c r="E54" s="34"/>
      <c r="F54" s="34">
        <f>SUM(F53*0.09290304)</f>
        <v>5.175279972</v>
      </c>
      <c r="I54" s="34"/>
      <c r="J54" s="34"/>
      <c r="K54" s="34"/>
    </row>
    <row r="55" spans="1:11" ht="12.75">
      <c r="A55" s="1"/>
      <c r="C55" s="62"/>
      <c r="D55" s="60"/>
      <c r="E55" s="60"/>
      <c r="F55" s="60"/>
      <c r="G55" s="60"/>
      <c r="H55" s="60"/>
      <c r="I55" s="60"/>
      <c r="J55" s="60"/>
      <c r="K55" s="60"/>
    </row>
    <row r="146" ht="12.75">
      <c r="A146" s="39"/>
    </row>
    <row r="156" ht="12.75">
      <c r="A156" s="6"/>
    </row>
    <row r="159" ht="12.75">
      <c r="E159" s="37"/>
    </row>
    <row r="160" ht="12.75">
      <c r="E160" s="37"/>
    </row>
    <row r="161" ht="12.75">
      <c r="E161" s="37"/>
    </row>
    <row r="162" ht="12.75">
      <c r="E162" s="60"/>
    </row>
    <row r="163" ht="12.75">
      <c r="E163" s="60"/>
    </row>
    <row r="164" ht="12.75">
      <c r="E164" s="6"/>
    </row>
    <row r="165" ht="12.75">
      <c r="E165" s="6"/>
    </row>
  </sheetData>
  <printOptions gridLines="1"/>
  <pageMargins left="0.31" right="0.5" top="0.63" bottom="0.61" header="0.43" footer="0.35"/>
  <pageSetup orientation="landscape" scale="80" r:id="rId1"/>
  <headerFooter alignWithMargins="0">
    <oddHeader>&amp;L&amp;"MS Sans Serif,Bold"&amp;12Plywood Material List</oddHeader>
    <oddFooter>&amp;L&amp;F&amp;CPage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58">
      <selection activeCell="M67" sqref="M67"/>
    </sheetView>
  </sheetViews>
  <sheetFormatPr defaultColWidth="9.140625" defaultRowHeight="12.75"/>
  <cols>
    <col min="2" max="2" width="16.421875" style="0" customWidth="1"/>
    <col min="3" max="3" width="10.421875" style="0" customWidth="1"/>
    <col min="4" max="4" width="9.8515625" style="0" customWidth="1"/>
    <col min="5" max="5" width="13.7109375" style="0" customWidth="1"/>
    <col min="6" max="6" width="11.421875" style="0" customWidth="1"/>
    <col min="7" max="7" width="11.00390625" style="0" customWidth="1"/>
    <col min="9" max="9" width="10.57421875" style="0" customWidth="1"/>
    <col min="10" max="10" width="11.57421875" style="0" customWidth="1"/>
    <col min="11" max="11" width="10.421875" style="0" customWidth="1"/>
    <col min="12" max="13" width="9.8515625" style="0" customWidth="1"/>
  </cols>
  <sheetData>
    <row r="1" spans="1:13" ht="15.75">
      <c r="A1" s="13" t="s">
        <v>0</v>
      </c>
      <c r="B1" s="14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8" ht="12.75">
      <c r="A2" s="77" t="s">
        <v>42</v>
      </c>
      <c r="B2" s="78"/>
      <c r="C2" s="78" t="s">
        <v>45</v>
      </c>
      <c r="D2" s="78"/>
      <c r="E2" s="78"/>
      <c r="F2" s="78"/>
      <c r="G2" s="78"/>
      <c r="H2" s="78" t="s">
        <v>44</v>
      </c>
    </row>
    <row r="3" spans="1:8" ht="12.75">
      <c r="A3" s="2" t="s">
        <v>1</v>
      </c>
      <c r="B3" t="s">
        <v>75</v>
      </c>
      <c r="C3" s="1" t="s">
        <v>57</v>
      </c>
      <c r="H3" s="2"/>
    </row>
    <row r="4" spans="1:8" ht="12.75">
      <c r="A4" s="1" t="s">
        <v>3</v>
      </c>
      <c r="B4" t="s">
        <v>75</v>
      </c>
      <c r="C4" s="1" t="s">
        <v>58</v>
      </c>
      <c r="H4" s="2"/>
    </row>
    <row r="5" spans="1:8" ht="12.75">
      <c r="A5" s="2" t="s">
        <v>4</v>
      </c>
      <c r="B5" t="s">
        <v>75</v>
      </c>
      <c r="C5" s="1" t="s">
        <v>59</v>
      </c>
      <c r="H5" s="2"/>
    </row>
    <row r="6" spans="1:3" ht="12.75">
      <c r="A6" s="2" t="s">
        <v>5</v>
      </c>
      <c r="B6" t="s">
        <v>75</v>
      </c>
      <c r="C6" s="1" t="s">
        <v>56</v>
      </c>
    </row>
    <row r="7" spans="1:3" ht="12.75">
      <c r="A7" s="2" t="s">
        <v>7</v>
      </c>
      <c r="B7" t="s">
        <v>75</v>
      </c>
      <c r="C7" s="1" t="s">
        <v>55</v>
      </c>
    </row>
    <row r="8" spans="1:8" ht="12.75">
      <c r="A8" s="1" t="s">
        <v>54</v>
      </c>
      <c r="B8" t="s">
        <v>75</v>
      </c>
      <c r="C8" s="1" t="s">
        <v>62</v>
      </c>
      <c r="H8" s="2"/>
    </row>
    <row r="9" spans="1:3" ht="12.75">
      <c r="A9" s="1" t="s">
        <v>51</v>
      </c>
      <c r="B9" t="s">
        <v>75</v>
      </c>
      <c r="C9" s="1" t="s">
        <v>63</v>
      </c>
    </row>
    <row r="10" spans="1:3" ht="12.75">
      <c r="A10" s="1" t="s">
        <v>52</v>
      </c>
      <c r="B10" t="s">
        <v>74</v>
      </c>
      <c r="C10" s="1" t="s">
        <v>60</v>
      </c>
    </row>
    <row r="11" spans="1:3" ht="15.75" customHeight="1">
      <c r="A11" t="s">
        <v>53</v>
      </c>
      <c r="B11" t="s">
        <v>73</v>
      </c>
      <c r="C11" s="1" t="s">
        <v>61</v>
      </c>
    </row>
    <row r="12" ht="15.75" customHeight="1">
      <c r="D12" t="s">
        <v>9</v>
      </c>
    </row>
    <row r="13" ht="15.75" customHeight="1" thickBot="1"/>
    <row r="14" spans="1:13" ht="15.75" customHeight="1" thickBot="1">
      <c r="A14" s="16" t="s">
        <v>10</v>
      </c>
      <c r="B14" s="17"/>
      <c r="C14" s="17" t="s">
        <v>9</v>
      </c>
      <c r="D14" s="17"/>
      <c r="E14" s="17" t="str">
        <f>$A$3</f>
        <v>LAM-A</v>
      </c>
      <c r="F14" s="17" t="str">
        <f>$A$4</f>
        <v>LAM-B </v>
      </c>
      <c r="G14" s="17" t="str">
        <f>$A$5</f>
        <v>LAM-C</v>
      </c>
      <c r="H14" s="17" t="str">
        <f>$A$6</f>
        <v>LAM-D</v>
      </c>
      <c r="I14" s="17" t="str">
        <f>$A$7</f>
        <v>LAM-E</v>
      </c>
      <c r="J14" s="17" t="str">
        <f>$A$8</f>
        <v>LAM-F</v>
      </c>
      <c r="K14" s="17" t="str">
        <f>$A$9</f>
        <v>LAM-G</v>
      </c>
      <c r="L14" s="17" t="str">
        <f>$A$10</f>
        <v>LAM-H</v>
      </c>
      <c r="M14" s="17" t="str">
        <f>$A$11</f>
        <v>LAM-I</v>
      </c>
    </row>
    <row r="15" spans="4:13" ht="12.75">
      <c r="D15" s="33"/>
      <c r="E15" s="33"/>
      <c r="F15" s="33"/>
      <c r="G15" s="33"/>
      <c r="H15" s="33"/>
      <c r="I15" s="33"/>
      <c r="J15" s="33"/>
      <c r="K15" s="33"/>
      <c r="L15" s="33" t="s">
        <v>21</v>
      </c>
      <c r="M15" s="33" t="s">
        <v>21</v>
      </c>
    </row>
    <row r="16" spans="1:13" ht="12.75">
      <c r="A16" s="2" t="str">
        <f>master!B4</f>
        <v>ring surface one modul</v>
      </c>
      <c r="C16" s="68" t="s">
        <v>11</v>
      </c>
      <c r="D16" s="66">
        <f>master!E4</f>
        <v>99</v>
      </c>
      <c r="F16" s="66"/>
      <c r="G16" s="66">
        <v>0</v>
      </c>
      <c r="H16" s="66">
        <v>0</v>
      </c>
      <c r="I16" s="66">
        <f>D16*2</f>
        <v>198</v>
      </c>
      <c r="J16" s="66">
        <v>0</v>
      </c>
      <c r="K16" s="66">
        <v>0</v>
      </c>
      <c r="M16" s="66">
        <f>D16</f>
        <v>99</v>
      </c>
    </row>
    <row r="17" spans="1:13" ht="12.75">
      <c r="A17" s="2"/>
      <c r="C17" s="15" t="s">
        <v>12</v>
      </c>
      <c r="D17" s="34">
        <f>master!E5</f>
        <v>9.197400960000001</v>
      </c>
      <c r="F17" s="34"/>
      <c r="G17" s="34">
        <f>SUM(G16*0.09290304)</f>
        <v>0</v>
      </c>
      <c r="H17" s="34">
        <f>SUM(H16*0.09290304)</f>
        <v>0</v>
      </c>
      <c r="I17" s="34">
        <f>SUM(I16*0.09290304)</f>
        <v>18.394801920000003</v>
      </c>
      <c r="J17" s="34">
        <f>SUM(J16*0.09290304)</f>
        <v>0</v>
      </c>
      <c r="K17" s="34">
        <f>SUM(K16*0.09290304)</f>
        <v>0</v>
      </c>
      <c r="M17" s="34">
        <f>SUM(M16*0.09290304)</f>
        <v>9.197400960000001</v>
      </c>
    </row>
    <row r="18" spans="1:13" ht="12.75" customHeight="1">
      <c r="A18" s="1" t="str">
        <f>master!B6</f>
        <v>total 6 modules</v>
      </c>
      <c r="C18" s="68" t="s">
        <v>11</v>
      </c>
      <c r="D18" s="66">
        <f>master!E6</f>
        <v>594</v>
      </c>
      <c r="F18" s="66"/>
      <c r="G18" s="66"/>
      <c r="H18" s="66">
        <f>H16*2</f>
        <v>0</v>
      </c>
      <c r="I18" s="66">
        <f>I16*2</f>
        <v>396</v>
      </c>
      <c r="J18" s="66">
        <v>0</v>
      </c>
      <c r="K18" s="66"/>
      <c r="M18" s="66">
        <f>D18</f>
        <v>594</v>
      </c>
    </row>
    <row r="19" spans="1:13" ht="12.75" customHeight="1">
      <c r="A19" s="1"/>
      <c r="C19" s="15" t="s">
        <v>12</v>
      </c>
      <c r="D19" s="34">
        <f>master!E7</f>
        <v>55.184405760000004</v>
      </c>
      <c r="F19" s="34"/>
      <c r="G19" s="34"/>
      <c r="H19" s="34">
        <f>SUM(H18*0.09290304)</f>
        <v>0</v>
      </c>
      <c r="I19" s="34">
        <f>SUM(I18*0.09290304)</f>
        <v>36.789603840000005</v>
      </c>
      <c r="J19" s="34">
        <f>SUM(J18*0.09290304)</f>
        <v>0</v>
      </c>
      <c r="K19" s="34"/>
      <c r="M19" s="34">
        <f>SUM(M18*0.09290304)</f>
        <v>55.184405760000004</v>
      </c>
    </row>
    <row r="20" spans="4:13" ht="12.75" customHeight="1"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4:13" ht="12.75" customHeight="1" thickBot="1"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 customHeight="1" thickBot="1">
      <c r="A22" s="16" t="s">
        <v>13</v>
      </c>
      <c r="B22" s="17"/>
      <c r="C22" s="17"/>
      <c r="D22" s="35"/>
      <c r="E22" s="17" t="str">
        <f>$A$3</f>
        <v>LAM-A</v>
      </c>
      <c r="F22" s="17" t="str">
        <f>$A$4</f>
        <v>LAM-B </v>
      </c>
      <c r="G22" s="17" t="str">
        <f>$A$5</f>
        <v>LAM-C</v>
      </c>
      <c r="H22" s="17" t="str">
        <f>$A$6</f>
        <v>LAM-D</v>
      </c>
      <c r="I22" s="17" t="str">
        <f>$A$7</f>
        <v>LAM-E</v>
      </c>
      <c r="J22" s="17" t="str">
        <f>$A$8</f>
        <v>LAM-F</v>
      </c>
      <c r="K22" s="17" t="str">
        <f>$A$9</f>
        <v>LAM-G</v>
      </c>
      <c r="L22" s="17" t="str">
        <f>$A$10</f>
        <v>LAM-H</v>
      </c>
      <c r="M22" s="17" t="str">
        <f>$A$11</f>
        <v>LAM-I</v>
      </c>
    </row>
    <row r="23" spans="1:13" ht="12.75">
      <c r="A23" s="2" t="str">
        <f>master!B11</f>
        <v>1 wall</v>
      </c>
      <c r="C23" s="68" t="s">
        <v>11</v>
      </c>
      <c r="D23" s="66">
        <f>master!E11</f>
        <v>23.4</v>
      </c>
      <c r="F23" s="66">
        <v>0</v>
      </c>
      <c r="G23" s="66" t="s">
        <v>9</v>
      </c>
      <c r="H23" s="66" t="s">
        <v>9</v>
      </c>
      <c r="I23" s="66">
        <f>D23*2</f>
        <v>46.8</v>
      </c>
      <c r="J23" s="66"/>
      <c r="K23" s="66"/>
      <c r="L23" s="66"/>
      <c r="M23" s="66">
        <f>D23*2</f>
        <v>46.8</v>
      </c>
    </row>
    <row r="24" spans="1:13" ht="12.75">
      <c r="A24" s="2"/>
      <c r="C24" s="15" t="s">
        <v>12</v>
      </c>
      <c r="D24" s="34">
        <f>SUM(D23*0.09290304)</f>
        <v>2.173931136</v>
      </c>
      <c r="F24" s="34">
        <f>SUM(F23*0.09290304)</f>
        <v>0</v>
      </c>
      <c r="G24" s="34"/>
      <c r="H24" s="34"/>
      <c r="I24" s="34">
        <f>SUM(I23*0.09290304)</f>
        <v>4.347862272</v>
      </c>
      <c r="J24" s="34"/>
      <c r="K24" s="34">
        <f>SUM(K23*0.09290304)</f>
        <v>0</v>
      </c>
      <c r="L24" s="34"/>
      <c r="M24" s="34">
        <f>SUM(M23*0.09290304)</f>
        <v>4.347862272</v>
      </c>
    </row>
    <row r="25" spans="1:13" ht="12.75">
      <c r="A25" s="1" t="str">
        <f>master!B13</f>
        <v>2 wall</v>
      </c>
      <c r="C25" s="68" t="s">
        <v>11</v>
      </c>
      <c r="D25" s="66">
        <f>master!E13</f>
        <v>48</v>
      </c>
      <c r="F25" s="66">
        <v>0</v>
      </c>
      <c r="G25" s="66" t="s">
        <v>9</v>
      </c>
      <c r="H25" s="66" t="s">
        <v>9</v>
      </c>
      <c r="I25" s="66">
        <f>D25*2</f>
        <v>96</v>
      </c>
      <c r="J25" s="66"/>
      <c r="K25" s="66"/>
      <c r="L25" s="66"/>
      <c r="M25" s="66">
        <f>D25*2</f>
        <v>96</v>
      </c>
    </row>
    <row r="26" spans="1:13" ht="12.75">
      <c r="A26" s="1"/>
      <c r="C26" s="15" t="s">
        <v>12</v>
      </c>
      <c r="D26" s="34">
        <f>SUM(D25*0.09290304)</f>
        <v>4.4593459200000005</v>
      </c>
      <c r="F26" s="34">
        <f>SUM(F25*0.09290304)</f>
        <v>0</v>
      </c>
      <c r="G26" s="34"/>
      <c r="H26" s="34"/>
      <c r="I26" s="34">
        <f>SUM(I25*0.09290304)</f>
        <v>8.918691840000001</v>
      </c>
      <c r="J26" s="34"/>
      <c r="K26" s="34">
        <f>SUM(K25*0.09290304)</f>
        <v>0</v>
      </c>
      <c r="L26" s="34"/>
      <c r="M26" s="34">
        <f>SUM(M25*0.09290304)</f>
        <v>8.918691840000001</v>
      </c>
    </row>
    <row r="27" spans="1:13" ht="12.75">
      <c r="A27" s="2" t="str">
        <f>master!B15</f>
        <v>3 wall</v>
      </c>
      <c r="C27" s="68" t="s">
        <v>11</v>
      </c>
      <c r="D27" s="66">
        <f>master!E15</f>
        <v>25.7</v>
      </c>
      <c r="F27" s="66">
        <v>0</v>
      </c>
      <c r="G27" s="66" t="s">
        <v>9</v>
      </c>
      <c r="H27" s="66" t="s">
        <v>9</v>
      </c>
      <c r="I27" s="66">
        <f>D27*2</f>
        <v>51.4</v>
      </c>
      <c r="J27" s="66"/>
      <c r="K27" s="66"/>
      <c r="L27" s="66"/>
      <c r="M27" s="66">
        <f>D27*2</f>
        <v>51.4</v>
      </c>
    </row>
    <row r="28" spans="1:13" ht="12.75">
      <c r="A28" s="2"/>
      <c r="C28" s="15" t="s">
        <v>12</v>
      </c>
      <c r="D28" s="34">
        <f>SUM(D27*0.09290304)</f>
        <v>2.387608128</v>
      </c>
      <c r="F28" s="34">
        <f>SUM(F27*0.09290304)</f>
        <v>0</v>
      </c>
      <c r="G28" s="34"/>
      <c r="H28" s="34"/>
      <c r="I28" s="34">
        <f>SUM(I27*0.09290304)</f>
        <v>4.775216256</v>
      </c>
      <c r="J28" s="34"/>
      <c r="K28" s="34">
        <f>SUM(K27*0.09290304)</f>
        <v>0</v>
      </c>
      <c r="L28" s="34"/>
      <c r="M28" s="34">
        <f>SUM(M27*0.09290304)</f>
        <v>4.775216256</v>
      </c>
    </row>
    <row r="29" spans="1:13" ht="12.75">
      <c r="A29" s="1" t="str">
        <f>master!B17</f>
        <v>4 wall</v>
      </c>
      <c r="C29" s="68" t="s">
        <v>11</v>
      </c>
      <c r="D29" s="66">
        <f>master!E17</f>
        <v>48</v>
      </c>
      <c r="F29" s="66">
        <v>0</v>
      </c>
      <c r="G29" s="66"/>
      <c r="H29" s="66"/>
      <c r="I29" s="66">
        <f>D29*4</f>
        <v>192</v>
      </c>
      <c r="J29" s="66"/>
      <c r="K29" s="66" t="s">
        <v>9</v>
      </c>
      <c r="L29" s="66"/>
      <c r="M29" s="66">
        <f>D29*2</f>
        <v>96</v>
      </c>
    </row>
    <row r="30" spans="1:13" ht="12.75">
      <c r="A30" s="1"/>
      <c r="C30" s="15" t="s">
        <v>12</v>
      </c>
      <c r="D30" s="34">
        <f>SUM(D29*0.09290304)</f>
        <v>4.4593459200000005</v>
      </c>
      <c r="F30" s="34">
        <f>SUM(F29*0.09290304)</f>
        <v>0</v>
      </c>
      <c r="G30" s="34"/>
      <c r="H30" s="34"/>
      <c r="I30" s="34">
        <f>SUM(I29*0.09290304)</f>
        <v>17.837383680000002</v>
      </c>
      <c r="J30" s="34"/>
      <c r="K30" s="34"/>
      <c r="L30" s="34"/>
      <c r="M30" s="34">
        <f>SUM(M29*0.09290304)</f>
        <v>8.918691840000001</v>
      </c>
    </row>
    <row r="31" spans="1:13" ht="12.75">
      <c r="A31" s="1" t="str">
        <f>master!B19</f>
        <v>5 wall</v>
      </c>
      <c r="C31" s="68" t="s">
        <v>11</v>
      </c>
      <c r="D31" s="66">
        <f>master!E19</f>
        <v>24</v>
      </c>
      <c r="F31" s="66">
        <v>0</v>
      </c>
      <c r="G31" s="66"/>
      <c r="H31" s="66"/>
      <c r="I31" s="66">
        <f>D31*2</f>
        <v>48</v>
      </c>
      <c r="J31" s="66"/>
      <c r="K31" s="66"/>
      <c r="L31" s="66"/>
      <c r="M31" s="66">
        <f>D31*2</f>
        <v>48</v>
      </c>
    </row>
    <row r="32" spans="1:13" ht="12.75">
      <c r="A32" s="1"/>
      <c r="C32" s="15" t="s">
        <v>12</v>
      </c>
      <c r="D32" s="34">
        <f>SUM(D31*0.09290304)</f>
        <v>2.2296729600000003</v>
      </c>
      <c r="F32" s="34">
        <f>SUM(F31*0.09290304)</f>
        <v>0</v>
      </c>
      <c r="G32" s="34"/>
      <c r="H32" s="34"/>
      <c r="I32" s="34">
        <f>SUM(I31*0.09290304)</f>
        <v>4.4593459200000005</v>
      </c>
      <c r="J32" s="34"/>
      <c r="K32" s="34"/>
      <c r="L32" s="34"/>
      <c r="M32" s="34">
        <f>SUM(M31*0.09290304)</f>
        <v>4.4593459200000005</v>
      </c>
    </row>
    <row r="33" spans="1:13" ht="12.75">
      <c r="A33" s="1" t="str">
        <f>master!B21</f>
        <v>6 wall</v>
      </c>
      <c r="C33" s="68" t="s">
        <v>11</v>
      </c>
      <c r="D33" s="66">
        <f>master!E21</f>
        <v>11</v>
      </c>
      <c r="F33" s="66">
        <v>0</v>
      </c>
      <c r="G33" s="66"/>
      <c r="H33" s="66"/>
      <c r="I33" s="66">
        <f>D33*2</f>
        <v>22</v>
      </c>
      <c r="J33" s="66"/>
      <c r="K33" s="66"/>
      <c r="L33" s="66"/>
      <c r="M33" s="66">
        <f>D33*2</f>
        <v>22</v>
      </c>
    </row>
    <row r="34" spans="1:13" ht="12.75">
      <c r="A34" s="1"/>
      <c r="C34" s="15" t="s">
        <v>12</v>
      </c>
      <c r="D34" s="34">
        <f>SUM(D33*0.09290304)</f>
        <v>1.02193344</v>
      </c>
      <c r="F34" s="34">
        <f>SUM(F33*0.09290304)</f>
        <v>0</v>
      </c>
      <c r="G34" s="34"/>
      <c r="H34" s="34"/>
      <c r="I34" s="34">
        <f>SUM(I33*0.09290304)</f>
        <v>2.04386688</v>
      </c>
      <c r="J34" s="34"/>
      <c r="K34" s="34">
        <f>SUM(K33*0.09290304)</f>
        <v>0</v>
      </c>
      <c r="L34" s="34"/>
      <c r="M34" s="34">
        <f>SUM(M33*0.09290304)</f>
        <v>2.04386688</v>
      </c>
    </row>
    <row r="35" spans="1:13" ht="12.75">
      <c r="A35" s="1" t="str">
        <f>master!B23</f>
        <v>galley expansion</v>
      </c>
      <c r="C35" s="68" t="s">
        <v>11</v>
      </c>
      <c r="D35" s="66">
        <f>master!E23</f>
        <v>49</v>
      </c>
      <c r="F35" s="66">
        <v>0</v>
      </c>
      <c r="G35" s="66"/>
      <c r="H35" s="66"/>
      <c r="I35" s="66">
        <f>D35*2</f>
        <v>98</v>
      </c>
      <c r="J35" s="66"/>
      <c r="K35" s="66"/>
      <c r="L35" s="66"/>
      <c r="M35" s="66">
        <f>D35*2</f>
        <v>98</v>
      </c>
    </row>
    <row r="36" spans="1:13" ht="12.75">
      <c r="A36" s="1"/>
      <c r="C36" s="15" t="s">
        <v>12</v>
      </c>
      <c r="D36" s="34">
        <f>SUM(D35*0.09290304)</f>
        <v>4.55224896</v>
      </c>
      <c r="F36" s="34">
        <f>SUM(F35*0.09290304)</f>
        <v>0</v>
      </c>
      <c r="G36" s="34"/>
      <c r="H36" s="34"/>
      <c r="I36" s="34">
        <f>SUM(I35*0.09290304)</f>
        <v>9.10449792</v>
      </c>
      <c r="J36" s="34"/>
      <c r="K36" s="34">
        <f>SUM(K35*0.09290304)</f>
        <v>0</v>
      </c>
      <c r="L36" s="34"/>
      <c r="M36" s="34">
        <f>SUM(M35*0.09290304)</f>
        <v>9.10449792</v>
      </c>
    </row>
    <row r="37" spans="1:13" ht="12.75">
      <c r="A37" s="1" t="str">
        <f>master!B25</f>
        <v>head expansion</v>
      </c>
      <c r="C37" s="68" t="s">
        <v>11</v>
      </c>
      <c r="D37" s="66">
        <f>master!E25</f>
        <v>84</v>
      </c>
      <c r="F37" s="66">
        <v>0</v>
      </c>
      <c r="G37" s="66"/>
      <c r="H37" s="66"/>
      <c r="I37" s="66">
        <f>D37*2</f>
        <v>168</v>
      </c>
      <c r="J37" s="66"/>
      <c r="K37" s="66" t="s">
        <v>9</v>
      </c>
      <c r="L37" s="66"/>
      <c r="M37" s="66">
        <f>D37*2</f>
        <v>168</v>
      </c>
    </row>
    <row r="38" spans="1:13" ht="12.75">
      <c r="A38" s="1"/>
      <c r="C38" s="15" t="s">
        <v>12</v>
      </c>
      <c r="D38" s="34">
        <f>SUM(D37*0.09290304)</f>
        <v>7.803855360000001</v>
      </c>
      <c r="F38" s="34">
        <f>SUM(F37*0.09290304)</f>
        <v>0</v>
      </c>
      <c r="G38" s="34"/>
      <c r="H38" s="34"/>
      <c r="I38" s="34">
        <f>SUM(I37*0.09290304)</f>
        <v>15.607710720000002</v>
      </c>
      <c r="J38" s="34"/>
      <c r="K38" s="34"/>
      <c r="L38" s="34"/>
      <c r="M38" s="34">
        <f>SUM(M37*0.09290304)</f>
        <v>15.607710720000002</v>
      </c>
    </row>
    <row r="39" spans="1:13" ht="12.75">
      <c r="A39" s="1" t="str">
        <f>master!B27</f>
        <v>stitting expansion</v>
      </c>
      <c r="C39" s="68" t="s">
        <v>11</v>
      </c>
      <c r="D39" s="66">
        <f>master!E31</f>
        <v>99</v>
      </c>
      <c r="F39" s="66">
        <v>0</v>
      </c>
      <c r="G39" s="66"/>
      <c r="H39" s="66"/>
      <c r="I39" s="66">
        <f>D39*4</f>
        <v>396</v>
      </c>
      <c r="J39" s="66"/>
      <c r="K39" s="66"/>
      <c r="L39" s="66"/>
      <c r="M39" s="66">
        <f>D39*2</f>
        <v>198</v>
      </c>
    </row>
    <row r="40" spans="1:13" ht="12.75">
      <c r="A40" s="1"/>
      <c r="C40" s="15" t="s">
        <v>12</v>
      </c>
      <c r="D40" s="34">
        <f>SUM(D39*0.09290304)</f>
        <v>9.197400960000001</v>
      </c>
      <c r="F40" s="34">
        <f>SUM(F39*0.09290304)</f>
        <v>0</v>
      </c>
      <c r="G40" s="34"/>
      <c r="H40" s="34"/>
      <c r="I40" s="34">
        <f>SUM(I39*0.09290304)</f>
        <v>36.789603840000005</v>
      </c>
      <c r="J40" s="34"/>
      <c r="K40" s="34"/>
      <c r="L40" s="34"/>
      <c r="M40" s="34">
        <f>SUM(M39*0.09290304)</f>
        <v>18.394801920000003</v>
      </c>
    </row>
    <row r="41" spans="1:13" ht="12.75">
      <c r="A41" s="1" t="str">
        <f>master!B29</f>
        <v>round expansion</v>
      </c>
      <c r="C41" s="68" t="s">
        <v>11</v>
      </c>
      <c r="D41" s="66">
        <f>master!E33</f>
        <v>55</v>
      </c>
      <c r="F41" s="66">
        <v>0</v>
      </c>
      <c r="G41" s="66"/>
      <c r="H41" s="66"/>
      <c r="I41" s="66">
        <f>D41*4</f>
        <v>220</v>
      </c>
      <c r="J41" s="66"/>
      <c r="K41" s="66"/>
      <c r="L41" s="66"/>
      <c r="M41" s="66">
        <f>D41*2</f>
        <v>110</v>
      </c>
    </row>
    <row r="42" spans="1:13" ht="12.75">
      <c r="A42" s="1"/>
      <c r="C42" s="15" t="s">
        <v>12</v>
      </c>
      <c r="D42" s="34">
        <f>SUM(D41*0.09290304)</f>
        <v>5.1096672000000005</v>
      </c>
      <c r="F42" s="34">
        <f>SUM(F41*0.09290304)</f>
        <v>0</v>
      </c>
      <c r="G42" s="34"/>
      <c r="H42" s="34"/>
      <c r="I42" s="34">
        <f>SUM(I41*0.09290304)</f>
        <v>20.438668800000002</v>
      </c>
      <c r="J42" s="34"/>
      <c r="K42" s="34"/>
      <c r="L42" s="34"/>
      <c r="M42" s="34">
        <f>SUM(M41*0.09290304)</f>
        <v>10.219334400000001</v>
      </c>
    </row>
    <row r="43" spans="1:13" ht="12.75">
      <c r="A43" s="1" t="str">
        <f>master!B31</f>
        <v>lounge base</v>
      </c>
      <c r="C43" s="68" t="s">
        <v>11</v>
      </c>
      <c r="D43" s="66">
        <f>master!E31</f>
        <v>99</v>
      </c>
      <c r="F43" s="66">
        <v>0</v>
      </c>
      <c r="G43" s="66"/>
      <c r="H43" s="66"/>
      <c r="I43" s="66">
        <f>D43*4</f>
        <v>396</v>
      </c>
      <c r="J43" s="66"/>
      <c r="K43" s="66"/>
      <c r="L43" s="66"/>
      <c r="M43" s="66">
        <f>D43*2</f>
        <v>198</v>
      </c>
    </row>
    <row r="44" spans="1:13" ht="12.75">
      <c r="A44" s="1"/>
      <c r="C44" s="15" t="s">
        <v>12</v>
      </c>
      <c r="D44" s="34">
        <f>SUM(D43*0.09290304)</f>
        <v>9.197400960000001</v>
      </c>
      <c r="F44" s="34">
        <f>SUM(F43*0.09290304)</f>
        <v>0</v>
      </c>
      <c r="G44" s="34"/>
      <c r="H44" s="34"/>
      <c r="I44" s="34">
        <f>SUM(I43*0.09290304)</f>
        <v>36.789603840000005</v>
      </c>
      <c r="J44" s="34"/>
      <c r="K44" s="34"/>
      <c r="L44" s="34"/>
      <c r="M44" s="34">
        <f>SUM(M43*0.09290304)</f>
        <v>18.394801920000003</v>
      </c>
    </row>
    <row r="45" spans="1:13" ht="12.75">
      <c r="A45" s="1" t="str">
        <f>master!B33</f>
        <v>main floor</v>
      </c>
      <c r="C45" s="68" t="s">
        <v>11</v>
      </c>
      <c r="D45" s="66">
        <f>master!E33</f>
        <v>55</v>
      </c>
      <c r="F45" s="66">
        <v>0</v>
      </c>
      <c r="G45" s="66"/>
      <c r="H45" s="66"/>
      <c r="I45" s="66">
        <f>D45*2</f>
        <v>110</v>
      </c>
      <c r="J45" s="66"/>
      <c r="K45" s="66"/>
      <c r="L45" s="66"/>
      <c r="M45" s="66">
        <f>D45*2</f>
        <v>110</v>
      </c>
    </row>
    <row r="46" spans="1:13" ht="12.75">
      <c r="A46" s="1"/>
      <c r="C46" s="15" t="s">
        <v>12</v>
      </c>
      <c r="D46" s="34">
        <f>SUM(D45*0.09290304)</f>
        <v>5.1096672000000005</v>
      </c>
      <c r="F46" s="34">
        <f>SUM(F45*0.09290304)</f>
        <v>0</v>
      </c>
      <c r="G46" s="34"/>
      <c r="H46" s="34"/>
      <c r="I46" s="34">
        <f>SUM(I45*0.09290304)</f>
        <v>10.219334400000001</v>
      </c>
      <c r="J46" s="34"/>
      <c r="K46" s="34"/>
      <c r="L46" s="34"/>
      <c r="M46" s="34">
        <f>SUM(M45*0.09290304)</f>
        <v>10.219334400000001</v>
      </c>
    </row>
    <row r="47" spans="1:13" ht="12.75">
      <c r="A47" s="1" t="str">
        <f>master!B35</f>
        <v>door</v>
      </c>
      <c r="C47" s="68" t="s">
        <v>11</v>
      </c>
      <c r="D47" s="66">
        <f>master!E35</f>
        <v>36.5</v>
      </c>
      <c r="F47" s="66">
        <v>0</v>
      </c>
      <c r="G47" s="66"/>
      <c r="H47" s="66"/>
      <c r="I47" s="66">
        <f>D47*2</f>
        <v>73</v>
      </c>
      <c r="J47" s="66"/>
      <c r="K47" s="66"/>
      <c r="L47" s="66"/>
      <c r="M47" s="66">
        <f>D47*2</f>
        <v>73</v>
      </c>
    </row>
    <row r="48" spans="1:13" ht="12.75">
      <c r="A48" s="1"/>
      <c r="C48" s="15" t="s">
        <v>12</v>
      </c>
      <c r="D48" s="34">
        <f>SUM(D47*0.09290304)</f>
        <v>3.39096096</v>
      </c>
      <c r="F48" s="34">
        <f>SUM(F47*0.09290304)</f>
        <v>0</v>
      </c>
      <c r="G48" s="34"/>
      <c r="H48" s="34"/>
      <c r="I48" s="34">
        <f>SUM(I47*0.09290304)</f>
        <v>6.78192192</v>
      </c>
      <c r="J48" s="34"/>
      <c r="K48" s="34"/>
      <c r="L48" s="34"/>
      <c r="M48" s="34">
        <f>SUM(M47*0.09290304)</f>
        <v>6.78192192</v>
      </c>
    </row>
    <row r="49" spans="1:13" ht="12.75">
      <c r="A49" s="1" t="str">
        <f>master!B37</f>
        <v>top</v>
      </c>
      <c r="C49" s="68" t="s">
        <v>11</v>
      </c>
      <c r="D49" s="66">
        <f>master!E37</f>
        <v>55</v>
      </c>
      <c r="F49" s="66">
        <v>0</v>
      </c>
      <c r="G49" s="66"/>
      <c r="H49" s="66"/>
      <c r="I49" s="66">
        <f>D49*2</f>
        <v>110</v>
      </c>
      <c r="J49" s="66"/>
      <c r="K49" s="66"/>
      <c r="L49" s="66"/>
      <c r="M49" s="66">
        <f>D49*2</f>
        <v>110</v>
      </c>
    </row>
    <row r="50" spans="1:13" ht="12.75">
      <c r="A50" s="1"/>
      <c r="C50" s="15" t="s">
        <v>12</v>
      </c>
      <c r="D50" s="34">
        <f>SUM(D49*0.09290304)</f>
        <v>5.1096672000000005</v>
      </c>
      <c r="F50" s="34">
        <f>SUM(F49*0.09290304)</f>
        <v>0</v>
      </c>
      <c r="G50" s="34"/>
      <c r="H50" s="34"/>
      <c r="I50" s="34">
        <f>SUM(I49*0.09290304)</f>
        <v>10.219334400000001</v>
      </c>
      <c r="J50" s="34"/>
      <c r="K50" s="34"/>
      <c r="L50" s="34"/>
      <c r="M50" s="34">
        <f>SUM(M49*0.09290304)</f>
        <v>10.219334400000001</v>
      </c>
    </row>
    <row r="51" spans="1:13" ht="12.75">
      <c r="A51" s="1" t="str">
        <f>master!B39</f>
        <v>6 lounge walls</v>
      </c>
      <c r="C51" s="68" t="s">
        <v>11</v>
      </c>
      <c r="D51" s="66">
        <f>master!E39</f>
        <v>229</v>
      </c>
      <c r="F51" s="66">
        <v>0</v>
      </c>
      <c r="G51" s="66"/>
      <c r="H51" s="66"/>
      <c r="I51" s="66">
        <f>D51*2</f>
        <v>458</v>
      </c>
      <c r="J51" s="66"/>
      <c r="K51" s="66"/>
      <c r="L51" s="66"/>
      <c r="M51" s="66">
        <f>D51*2</f>
        <v>458</v>
      </c>
    </row>
    <row r="52" spans="1:13" ht="12.75">
      <c r="A52" s="1"/>
      <c r="C52" s="15" t="s">
        <v>12</v>
      </c>
      <c r="D52" s="34">
        <f>SUM(D51*0.09290304)</f>
        <v>21.27479616</v>
      </c>
      <c r="F52" s="34">
        <f>SUM(F51*0.09290304)</f>
        <v>0</v>
      </c>
      <c r="G52" s="34"/>
      <c r="H52" s="34"/>
      <c r="I52" s="34">
        <f>SUM(I51*0.09290304)</f>
        <v>42.54959232</v>
      </c>
      <c r="J52" s="34"/>
      <c r="K52" s="34"/>
      <c r="L52" s="34"/>
      <c r="M52" s="34">
        <f>SUM(M51*0.09290304)</f>
        <v>42.54959232</v>
      </c>
    </row>
    <row r="53" spans="1:13" ht="12.75">
      <c r="A53" s="1" t="str">
        <f>master!B41</f>
        <v>bed panel</v>
      </c>
      <c r="C53" s="68" t="s">
        <v>11</v>
      </c>
      <c r="D53" s="66">
        <f>master!E41</f>
        <v>30</v>
      </c>
      <c r="F53" s="66">
        <v>0</v>
      </c>
      <c r="G53" s="66"/>
      <c r="H53" s="66"/>
      <c r="I53" s="66">
        <f>D53*2</f>
        <v>60</v>
      </c>
      <c r="J53" s="66"/>
      <c r="K53" s="66"/>
      <c r="L53" s="66"/>
      <c r="M53" s="66">
        <f>D53*2</f>
        <v>60</v>
      </c>
    </row>
    <row r="54" spans="1:13" ht="12.75">
      <c r="A54" s="1"/>
      <c r="C54" s="15" t="s">
        <v>12</v>
      </c>
      <c r="D54" s="34">
        <f>SUM(D53*0.09290304)</f>
        <v>2.7870912000000003</v>
      </c>
      <c r="F54" s="34">
        <f>SUM(F53*0.09290304)</f>
        <v>0</v>
      </c>
      <c r="G54" s="34"/>
      <c r="H54" s="34"/>
      <c r="I54" s="34">
        <f>SUM(I53*0.09290304)</f>
        <v>5.574182400000001</v>
      </c>
      <c r="J54" s="34"/>
      <c r="K54" s="34"/>
      <c r="L54" s="34"/>
      <c r="M54" s="34">
        <f>SUM(M53*0.09290304)</f>
        <v>5.574182400000001</v>
      </c>
    </row>
    <row r="55" spans="1:13" ht="12.75">
      <c r="A55" s="52" t="s">
        <v>14</v>
      </c>
      <c r="B55" s="53"/>
      <c r="C55" s="70" t="s">
        <v>11</v>
      </c>
      <c r="D55" s="67">
        <f>SUM(D23+D25+D27+D29+D31+D33+D35+D37+D39+D43+D45+D49+D51+D53)</f>
        <v>880.1</v>
      </c>
      <c r="F55" s="67">
        <f>SUM(F23+F25+F27+F29+F31+F33+F35+F37+F39+F43+F45+F49+F51+F53)</f>
        <v>0</v>
      </c>
      <c r="G55" s="67"/>
      <c r="H55" s="67"/>
      <c r="I55" s="67">
        <f>SUM(I23+I25+I27+I29+I31+I33+I35+I37+I39+I41+I43+I45+I47+I49+I51+I53)</f>
        <v>2545.2</v>
      </c>
      <c r="J55" s="67"/>
      <c r="K55" s="67"/>
      <c r="L55" s="67"/>
      <c r="M55" s="67">
        <f>SUM(M23+M25+M27+M29+M31+M33+M35+M37+M39+M41+M43+M45+M47+M49+M51+M53)</f>
        <v>1943.2</v>
      </c>
    </row>
    <row r="56" spans="1:13" ht="12.75">
      <c r="A56" s="1"/>
      <c r="C56" s="28" t="s">
        <v>12</v>
      </c>
      <c r="D56" s="36">
        <f>SUM(D55*0.09290304)</f>
        <v>81.76396550400001</v>
      </c>
      <c r="F56" s="36">
        <f>SUM(F55*0.09290304)</f>
        <v>0</v>
      </c>
      <c r="G56" s="36"/>
      <c r="H56" s="36"/>
      <c r="I56" s="36">
        <f>SUM(I55*0.09290304)</f>
        <v>236.456817408</v>
      </c>
      <c r="J56" s="36"/>
      <c r="K56" s="36"/>
      <c r="L56" s="36"/>
      <c r="M56" s="36">
        <f>SUM(M55*0.09290304)</f>
        <v>180.529187328</v>
      </c>
    </row>
    <row r="57" spans="1:13" ht="12.75">
      <c r="A57" s="1" t="str">
        <f>master!B45</f>
        <v>total surface areas</v>
      </c>
      <c r="C57" s="68" t="s">
        <v>11</v>
      </c>
      <c r="D57" s="66">
        <f>D55</f>
        <v>880.1</v>
      </c>
      <c r="F57" s="66">
        <f>F55*2</f>
        <v>0</v>
      </c>
      <c r="G57" s="66"/>
      <c r="H57" s="66"/>
      <c r="I57" s="66">
        <f>I55</f>
        <v>2545.2</v>
      </c>
      <c r="J57" s="66"/>
      <c r="K57" s="66"/>
      <c r="L57" s="66"/>
      <c r="M57" s="66">
        <f>M55</f>
        <v>1943.2</v>
      </c>
    </row>
    <row r="58" spans="1:13" ht="12.75">
      <c r="A58" s="1"/>
      <c r="C58" s="15" t="s">
        <v>12</v>
      </c>
      <c r="D58" s="34">
        <f>SUM(D57*0.09290304)</f>
        <v>81.76396550400001</v>
      </c>
      <c r="F58" s="34">
        <f>SUM(F57*0.09290304)</f>
        <v>0</v>
      </c>
      <c r="G58" s="34"/>
      <c r="H58" s="34"/>
      <c r="I58" s="34">
        <f>SUM(I57*0.09290304)</f>
        <v>236.456817408</v>
      </c>
      <c r="J58" s="34"/>
      <c r="K58" s="34"/>
      <c r="L58" s="34"/>
      <c r="M58" s="34">
        <f>SUM(M57*0.09290304)</f>
        <v>180.529187328</v>
      </c>
    </row>
    <row r="59" spans="1:13" ht="12.75">
      <c r="A59" s="1"/>
      <c r="C59" s="62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1"/>
      <c r="C60" s="20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 ht="12.75">
      <c r="A61" s="52"/>
      <c r="B61" s="53"/>
      <c r="C61" s="28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1"/>
      <c r="C62" s="28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ht="13.5" thickBot="1">
      <c r="A63" s="2"/>
      <c r="C63" s="15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3.5" thickBot="1">
      <c r="A64" s="30" t="s">
        <v>15</v>
      </c>
      <c r="B64" s="31"/>
      <c r="C64" s="31"/>
      <c r="D64" s="43"/>
      <c r="E64" s="23" t="str">
        <f>$A$3</f>
        <v>LAM-A</v>
      </c>
      <c r="F64" s="23" t="str">
        <f>$A$4</f>
        <v>LAM-B </v>
      </c>
      <c r="G64" s="23" t="str">
        <f>$A$5</f>
        <v>LAM-C</v>
      </c>
      <c r="H64" s="23" t="str">
        <f>$A$6</f>
        <v>LAM-D</v>
      </c>
      <c r="I64" s="23" t="str">
        <f>$A$7</f>
        <v>LAM-E</v>
      </c>
      <c r="J64" s="23" t="str">
        <f>$A$8</f>
        <v>LAM-F</v>
      </c>
      <c r="K64" s="23" t="str">
        <f>$A$9</f>
        <v>LAM-G</v>
      </c>
      <c r="L64" s="23" t="str">
        <f>$A$10</f>
        <v>LAM-H</v>
      </c>
      <c r="M64" s="23" t="str">
        <f>$A$11</f>
        <v>LAM-I</v>
      </c>
    </row>
    <row r="65" spans="1:13" ht="12.75">
      <c r="A65" s="6"/>
      <c r="B65" s="6"/>
      <c r="C65" s="6"/>
      <c r="D65" s="39"/>
      <c r="E65" s="72" t="s">
        <v>11</v>
      </c>
      <c r="F65" s="73" t="s">
        <v>11</v>
      </c>
      <c r="G65" s="73" t="s">
        <v>11</v>
      </c>
      <c r="H65" s="73" t="s">
        <v>11</v>
      </c>
      <c r="I65" s="73" t="s">
        <v>11</v>
      </c>
      <c r="J65" s="73" t="s">
        <v>11</v>
      </c>
      <c r="K65" s="73" t="s">
        <v>11</v>
      </c>
      <c r="L65" s="73" t="s">
        <v>22</v>
      </c>
      <c r="M65" s="73" t="s">
        <v>11</v>
      </c>
    </row>
    <row r="66" spans="1:13" ht="12.75">
      <c r="A66" s="32" t="s">
        <v>9</v>
      </c>
      <c r="B66" s="6"/>
      <c r="C66" s="6"/>
      <c r="D66" s="39"/>
      <c r="E66" s="69"/>
      <c r="F66" s="69"/>
      <c r="G66" s="69"/>
      <c r="H66" s="69"/>
      <c r="I66" s="69">
        <f>SUM(+I18+I57)</f>
        <v>2941.2</v>
      </c>
      <c r="J66" s="69"/>
      <c r="K66" s="69"/>
      <c r="L66" s="69"/>
      <c r="M66" s="69">
        <f>SUM(+M18+M57)/2</f>
        <v>1268.6</v>
      </c>
    </row>
    <row r="67" spans="1:13" ht="12.75">
      <c r="A67" s="32"/>
      <c r="B67" s="6"/>
      <c r="C67" s="6"/>
      <c r="D67" s="39"/>
      <c r="E67" s="44"/>
      <c r="F67" s="45"/>
      <c r="G67" s="45"/>
      <c r="H67" s="45"/>
      <c r="I67" s="45" t="s">
        <v>12</v>
      </c>
      <c r="J67" s="45"/>
      <c r="K67" s="45"/>
      <c r="L67" s="45"/>
      <c r="M67" s="45" t="s">
        <v>12</v>
      </c>
    </row>
    <row r="68" spans="4:13" ht="12.75">
      <c r="D68" s="33"/>
      <c r="E68" s="34"/>
      <c r="F68" s="34"/>
      <c r="G68" s="34"/>
      <c r="H68" s="34"/>
      <c r="I68" s="34">
        <f>SUM(I66*0.09290304)</f>
        <v>273.246421248</v>
      </c>
      <c r="J68" s="34"/>
      <c r="K68" s="34"/>
      <c r="L68" s="34"/>
      <c r="M68" s="34">
        <f>SUM(M66*0.09290304)</f>
        <v>117.856796544</v>
      </c>
    </row>
    <row r="69" spans="4:13" ht="12.75"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2.75">
      <c r="A70" t="s">
        <v>16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2.75">
      <c r="A71" t="s">
        <v>17</v>
      </c>
      <c r="C71" t="str">
        <f>A3</f>
        <v>LAM-A</v>
      </c>
      <c r="D71" s="33" t="s">
        <v>18</v>
      </c>
      <c r="E71" s="33" t="str">
        <f>C3</f>
        <v>Triax 34 oz</v>
      </c>
      <c r="F71" s="33"/>
      <c r="G71" s="33"/>
      <c r="H71" s="33"/>
      <c r="I71" s="33"/>
      <c r="J71" s="33"/>
      <c r="K71" s="33"/>
      <c r="L71" s="33"/>
      <c r="M71" s="33"/>
    </row>
    <row r="72" spans="1:13" ht="12.75">
      <c r="A72" s="2" t="s">
        <v>19</v>
      </c>
      <c r="C72" s="3">
        <f>E66</f>
        <v>0</v>
      </c>
      <c r="D72" s="33" t="s">
        <v>18</v>
      </c>
      <c r="E72" s="33">
        <f>C72</f>
        <v>0</v>
      </c>
      <c r="F72" s="33" t="s">
        <v>20</v>
      </c>
      <c r="G72" s="33"/>
      <c r="H72" s="33"/>
      <c r="I72" s="33"/>
      <c r="J72" s="33"/>
      <c r="K72" s="33"/>
      <c r="L72" s="33"/>
      <c r="M72" s="33"/>
    </row>
    <row r="73" spans="1:13" ht="12.75">
      <c r="A73" s="7"/>
      <c r="B73" s="6"/>
      <c r="C73" s="8"/>
      <c r="D73" s="39"/>
      <c r="E73" s="39"/>
      <c r="F73" s="39"/>
      <c r="G73" s="46"/>
      <c r="H73" s="46"/>
      <c r="I73" s="46"/>
      <c r="J73" s="46"/>
      <c r="K73" s="46"/>
      <c r="L73" s="46"/>
      <c r="M73" s="46"/>
    </row>
    <row r="74" spans="1:13" ht="12.75">
      <c r="A74" s="11"/>
      <c r="B74" s="4"/>
      <c r="C74" s="4"/>
      <c r="D74" s="47"/>
      <c r="E74" s="47"/>
      <c r="F74" s="47" t="s">
        <v>23</v>
      </c>
      <c r="G74" s="33"/>
      <c r="H74" s="47" t="s">
        <v>23</v>
      </c>
      <c r="I74" s="33"/>
      <c r="J74" s="47" t="s">
        <v>24</v>
      </c>
      <c r="K74" s="33"/>
      <c r="L74" s="39" t="s">
        <v>24</v>
      </c>
      <c r="M74" s="48"/>
    </row>
    <row r="75" spans="1:13" ht="12.75">
      <c r="A75" s="54" t="s">
        <v>25</v>
      </c>
      <c r="B75" s="55"/>
      <c r="C75" s="55" t="s">
        <v>26</v>
      </c>
      <c r="D75" s="56" t="s">
        <v>27</v>
      </c>
      <c r="E75" s="56" t="s">
        <v>28</v>
      </c>
      <c r="F75" s="57" t="s">
        <v>29</v>
      </c>
      <c r="G75" s="58" t="s">
        <v>30</v>
      </c>
      <c r="H75" s="56" t="s">
        <v>31</v>
      </c>
      <c r="I75" s="56" t="s">
        <v>32</v>
      </c>
      <c r="J75" s="57" t="s">
        <v>31</v>
      </c>
      <c r="K75" s="56" t="s">
        <v>32</v>
      </c>
      <c r="L75" s="56" t="s">
        <v>33</v>
      </c>
      <c r="M75" s="59" t="s">
        <v>34</v>
      </c>
    </row>
    <row r="76" spans="1:13" ht="12.75">
      <c r="A76" s="5" t="str">
        <f aca="true" t="shared" si="0" ref="A76:A84">A3</f>
        <v>LAM-A</v>
      </c>
      <c r="B76" s="6"/>
      <c r="C76" s="5" t="str">
        <f>C3</f>
        <v>Triax 34 oz</v>
      </c>
      <c r="D76" s="69">
        <f>E66</f>
        <v>0</v>
      </c>
      <c r="E76" s="34">
        <f>SUM(D76*0.09290304)</f>
        <v>0</v>
      </c>
      <c r="F76" s="39">
        <f>(D76/9)*33.9</f>
        <v>0</v>
      </c>
      <c r="G76" s="64">
        <f>SUM(F76*34)</f>
        <v>0</v>
      </c>
      <c r="H76" s="39">
        <f aca="true" t="shared" si="1" ref="H76:H84">F76/16</f>
        <v>0</v>
      </c>
      <c r="I76" s="34">
        <f>SUM(H76*0.45359237)</f>
        <v>0</v>
      </c>
      <c r="J76" s="39">
        <f aca="true" t="shared" si="2" ref="J76:J84">H76</f>
        <v>0</v>
      </c>
      <c r="K76" s="34">
        <f>SUM(J76*0.45359237)</f>
        <v>0</v>
      </c>
      <c r="L76" s="39">
        <f aca="true" t="shared" si="3" ref="L76:L84">J76/9.5</f>
        <v>0</v>
      </c>
      <c r="M76" s="49">
        <f>SUM(L76*3.7854117)</f>
        <v>0</v>
      </c>
    </row>
    <row r="77" spans="1:13" ht="12.75">
      <c r="A77" s="5" t="str">
        <f t="shared" si="0"/>
        <v>LAM-B </v>
      </c>
      <c r="B77" s="6"/>
      <c r="C77" s="5" t="str">
        <f>C4</f>
        <v>Triax 20 oz</v>
      </c>
      <c r="D77" s="69">
        <f>F66</f>
        <v>0</v>
      </c>
      <c r="E77" s="34">
        <f aca="true" t="shared" si="4" ref="E77:E84">SUM(D77*0.09290304)</f>
        <v>0</v>
      </c>
      <c r="F77" s="39">
        <f>(D77/9)*22.7</f>
        <v>0</v>
      </c>
      <c r="G77" s="63">
        <f aca="true" t="shared" si="5" ref="G77:G84">SUM(F77*34)</f>
        <v>0</v>
      </c>
      <c r="H77" s="39">
        <f t="shared" si="1"/>
        <v>0</v>
      </c>
      <c r="I77" s="34">
        <f aca="true" t="shared" si="6" ref="I77:I84">SUM(H77*0.45359237)</f>
        <v>0</v>
      </c>
      <c r="J77" s="39">
        <f t="shared" si="2"/>
        <v>0</v>
      </c>
      <c r="K77" s="34">
        <f aca="true" t="shared" si="7" ref="K77:K84">SUM(J77*0.45359237)</f>
        <v>0</v>
      </c>
      <c r="L77" s="39">
        <f t="shared" si="3"/>
        <v>0</v>
      </c>
      <c r="M77" s="49">
        <f aca="true" t="shared" si="8" ref="M77:M84">SUM(L77*3.7854117)</f>
        <v>0</v>
      </c>
    </row>
    <row r="78" spans="1:13" ht="12.75">
      <c r="A78" s="5" t="str">
        <f t="shared" si="0"/>
        <v>LAM-C</v>
      </c>
      <c r="B78" s="6"/>
      <c r="C78" s="5" t="str">
        <f>C5</f>
        <v>Triax 17 oz</v>
      </c>
      <c r="D78" s="69">
        <f>G66</f>
        <v>0</v>
      </c>
      <c r="E78" s="34">
        <f t="shared" si="4"/>
        <v>0</v>
      </c>
      <c r="F78" s="39">
        <f>(D78/9)*17.7</f>
        <v>0</v>
      </c>
      <c r="G78" s="63">
        <f t="shared" si="5"/>
        <v>0</v>
      </c>
      <c r="H78" s="39">
        <f t="shared" si="1"/>
        <v>0</v>
      </c>
      <c r="I78" s="34">
        <f t="shared" si="6"/>
        <v>0</v>
      </c>
      <c r="J78" s="39">
        <f t="shared" si="2"/>
        <v>0</v>
      </c>
      <c r="K78" s="34">
        <f t="shared" si="7"/>
        <v>0</v>
      </c>
      <c r="L78" s="39">
        <f t="shared" si="3"/>
        <v>0</v>
      </c>
      <c r="M78" s="49">
        <f t="shared" si="8"/>
        <v>0</v>
      </c>
    </row>
    <row r="79" spans="1:13" ht="12.75">
      <c r="A79" s="5" t="str">
        <f t="shared" si="0"/>
        <v>LAM-D</v>
      </c>
      <c r="B79" s="6"/>
      <c r="C79" t="s">
        <v>56</v>
      </c>
      <c r="D79" s="69">
        <f>H66</f>
        <v>0</v>
      </c>
      <c r="E79" s="34">
        <f t="shared" si="4"/>
        <v>0</v>
      </c>
      <c r="F79" s="39">
        <f>(D79/9)*9.9</f>
        <v>0</v>
      </c>
      <c r="G79" s="63">
        <f t="shared" si="5"/>
        <v>0</v>
      </c>
      <c r="H79" s="39">
        <f t="shared" si="1"/>
        <v>0</v>
      </c>
      <c r="I79" s="34">
        <f t="shared" si="6"/>
        <v>0</v>
      </c>
      <c r="J79" s="39">
        <f t="shared" si="2"/>
        <v>0</v>
      </c>
      <c r="K79" s="34">
        <f t="shared" si="7"/>
        <v>0</v>
      </c>
      <c r="L79" s="39">
        <f t="shared" si="3"/>
        <v>0</v>
      </c>
      <c r="M79" s="49">
        <f t="shared" si="8"/>
        <v>0</v>
      </c>
    </row>
    <row r="80" spans="1:13" ht="12.75">
      <c r="A80" s="5" t="str">
        <f t="shared" si="0"/>
        <v>LAM-E</v>
      </c>
      <c r="B80" s="6"/>
      <c r="C80" t="s">
        <v>55</v>
      </c>
      <c r="D80" s="69">
        <f>I66</f>
        <v>2941.2</v>
      </c>
      <c r="E80" s="34">
        <f t="shared" si="4"/>
        <v>273.246421248</v>
      </c>
      <c r="F80" s="39">
        <f>(D80/9)*5.7</f>
        <v>1862.7599999999998</v>
      </c>
      <c r="G80" s="63">
        <f t="shared" si="5"/>
        <v>63333.83999999999</v>
      </c>
      <c r="H80" s="39">
        <f t="shared" si="1"/>
        <v>116.42249999999999</v>
      </c>
      <c r="I80" s="34">
        <f t="shared" si="6"/>
        <v>52.808357696325</v>
      </c>
      <c r="J80" s="39">
        <f t="shared" si="2"/>
        <v>116.42249999999999</v>
      </c>
      <c r="K80" s="34">
        <f t="shared" si="7"/>
        <v>52.808357696325</v>
      </c>
      <c r="L80" s="39">
        <f t="shared" si="3"/>
        <v>12.254999999999999</v>
      </c>
      <c r="M80" s="49">
        <f t="shared" si="8"/>
        <v>46.390220383499994</v>
      </c>
    </row>
    <row r="81" spans="1:13" ht="12.75">
      <c r="A81" s="5" t="str">
        <f t="shared" si="0"/>
        <v>LAM-F</v>
      </c>
      <c r="B81" s="6"/>
      <c r="C81" s="5" t="str">
        <f>C8</f>
        <v>Uni 12 oz</v>
      </c>
      <c r="D81" s="69">
        <f>J66</f>
        <v>0</v>
      </c>
      <c r="E81" s="34">
        <f t="shared" si="4"/>
        <v>0</v>
      </c>
      <c r="F81" s="39">
        <f>(D81/9)*12</f>
        <v>0</v>
      </c>
      <c r="G81" s="63">
        <f t="shared" si="5"/>
        <v>0</v>
      </c>
      <c r="H81" s="39">
        <f>F81/16</f>
        <v>0</v>
      </c>
      <c r="I81" s="34">
        <f t="shared" si="6"/>
        <v>0</v>
      </c>
      <c r="J81" s="39">
        <f>H81</f>
        <v>0</v>
      </c>
      <c r="K81" s="34">
        <f t="shared" si="7"/>
        <v>0</v>
      </c>
      <c r="L81" s="39">
        <f>J81/9.5</f>
        <v>0</v>
      </c>
      <c r="M81" s="49">
        <f t="shared" si="8"/>
        <v>0</v>
      </c>
    </row>
    <row r="82" spans="1:13" ht="12.75">
      <c r="A82" s="5" t="str">
        <f t="shared" si="0"/>
        <v>LAM-G</v>
      </c>
      <c r="B82" s="6"/>
      <c r="C82" s="5" t="str">
        <f>C9</f>
        <v>Uni 10 oz</v>
      </c>
      <c r="D82" s="69">
        <f>K66</f>
        <v>0</v>
      </c>
      <c r="E82" s="34">
        <f t="shared" si="4"/>
        <v>0</v>
      </c>
      <c r="F82" s="39">
        <f>(D82/9)*9.7</f>
        <v>0</v>
      </c>
      <c r="G82" s="63">
        <f t="shared" si="5"/>
        <v>0</v>
      </c>
      <c r="H82" s="39">
        <f>F82/16</f>
        <v>0</v>
      </c>
      <c r="I82" s="34">
        <f t="shared" si="6"/>
        <v>0</v>
      </c>
      <c r="J82" s="39">
        <f>H82</f>
        <v>0</v>
      </c>
      <c r="K82" s="34">
        <f t="shared" si="7"/>
        <v>0</v>
      </c>
      <c r="L82" s="39">
        <f>J82/9.5</f>
        <v>0</v>
      </c>
      <c r="M82" s="49">
        <f t="shared" si="8"/>
        <v>0</v>
      </c>
    </row>
    <row r="83" spans="1:13" ht="12.75">
      <c r="A83" s="5" t="str">
        <f t="shared" si="0"/>
        <v>LAM-H</v>
      </c>
      <c r="B83" s="6"/>
      <c r="C83" s="5" t="str">
        <f>C10</f>
        <v>Biax 20 oz</v>
      </c>
      <c r="D83" s="69">
        <f>L66</f>
        <v>0</v>
      </c>
      <c r="E83" s="34">
        <f t="shared" si="4"/>
        <v>0</v>
      </c>
      <c r="F83" s="39">
        <f>(D83/9)*19.3</f>
        <v>0</v>
      </c>
      <c r="G83" s="63">
        <f t="shared" si="5"/>
        <v>0</v>
      </c>
      <c r="H83" s="39">
        <f t="shared" si="1"/>
        <v>0</v>
      </c>
      <c r="I83" s="34">
        <f t="shared" si="6"/>
        <v>0</v>
      </c>
      <c r="J83" s="39">
        <f t="shared" si="2"/>
        <v>0</v>
      </c>
      <c r="K83" s="34">
        <f t="shared" si="7"/>
        <v>0</v>
      </c>
      <c r="L83" s="39">
        <f t="shared" si="3"/>
        <v>0</v>
      </c>
      <c r="M83" s="49">
        <f t="shared" si="8"/>
        <v>0</v>
      </c>
    </row>
    <row r="84" spans="1:13" ht="12.75">
      <c r="A84" s="5" t="str">
        <f t="shared" si="0"/>
        <v>LAM-I</v>
      </c>
      <c r="B84" s="6"/>
      <c r="C84" s="5" t="str">
        <f>C11</f>
        <v>Biax 12 oz</v>
      </c>
      <c r="D84" s="69">
        <f>M66</f>
        <v>1268.6</v>
      </c>
      <c r="E84" s="34">
        <f t="shared" si="4"/>
        <v>117.856796544</v>
      </c>
      <c r="F84" s="39">
        <f>(D84/9)*12.4</f>
        <v>1747.848888888889</v>
      </c>
      <c r="G84" s="63">
        <f t="shared" si="5"/>
        <v>59426.862222222226</v>
      </c>
      <c r="H84" s="39">
        <f t="shared" si="1"/>
        <v>109.24055555555556</v>
      </c>
      <c r="I84" s="34">
        <f t="shared" si="6"/>
        <v>49.550682494561116</v>
      </c>
      <c r="J84" s="39">
        <f t="shared" si="2"/>
        <v>109.24055555555556</v>
      </c>
      <c r="K84" s="34">
        <f t="shared" si="7"/>
        <v>49.550682494561116</v>
      </c>
      <c r="L84" s="39">
        <f t="shared" si="3"/>
        <v>11.499005847953217</v>
      </c>
      <c r="M84" s="49">
        <f t="shared" si="8"/>
        <v>43.52847127521053</v>
      </c>
    </row>
    <row r="85" spans="1:13" ht="12.75">
      <c r="A85" s="5"/>
      <c r="B85" s="6"/>
      <c r="C85" s="6"/>
      <c r="D85" s="69"/>
      <c r="E85" s="40"/>
      <c r="F85" s="39"/>
      <c r="G85" s="63"/>
      <c r="H85" s="39"/>
      <c r="I85" s="34"/>
      <c r="J85" s="39"/>
      <c r="K85" s="34"/>
      <c r="L85" s="39"/>
      <c r="M85" s="49"/>
    </row>
    <row r="86" spans="1:13" ht="12.75">
      <c r="A86" s="9" t="s">
        <v>35</v>
      </c>
      <c r="B86" s="10"/>
      <c r="C86" s="10"/>
      <c r="D86" s="74">
        <f>SUM(D76:D85)</f>
        <v>4209.799999999999</v>
      </c>
      <c r="E86" s="50">
        <f>SUM(E76:E85)</f>
        <v>391.103217792</v>
      </c>
      <c r="F86" s="46">
        <f>SUM(F76:F84)</f>
        <v>3610.608888888889</v>
      </c>
      <c r="G86" s="65">
        <f>SUM(G76:G85)</f>
        <v>122760.70222222221</v>
      </c>
      <c r="H86" s="46">
        <f>SUM(H76:H84)</f>
        <v>225.66305555555556</v>
      </c>
      <c r="I86" s="50">
        <f>SUM(I76:I85)</f>
        <v>102.3590401908861</v>
      </c>
      <c r="J86" s="46">
        <f>SUM(J76:J84)</f>
        <v>225.66305555555556</v>
      </c>
      <c r="K86" s="50">
        <f>SUM(K76:K85)</f>
        <v>102.3590401908861</v>
      </c>
      <c r="L86" s="46">
        <f>SUM(L76:L84)</f>
        <v>23.754005847953216</v>
      </c>
      <c r="M86" s="51">
        <f>SUM(M76:M85)</f>
        <v>89.91869165871051</v>
      </c>
    </row>
    <row r="88" ht="12.75">
      <c r="E88" s="37"/>
    </row>
    <row r="89" ht="12.75">
      <c r="E89" s="37"/>
    </row>
    <row r="90" ht="12.75">
      <c r="E90" s="37"/>
    </row>
    <row r="91" ht="12.75">
      <c r="E91" s="60"/>
    </row>
    <row r="92" ht="12.75">
      <c r="E92" s="60"/>
    </row>
    <row r="93" ht="12.75">
      <c r="E93" s="6"/>
    </row>
    <row r="94" ht="12.75">
      <c r="E94" s="6"/>
    </row>
  </sheetData>
  <printOptions gridLines="1"/>
  <pageMargins left="0.31" right="0.5" top="0.56" bottom="0.61" header="0.29" footer="0.35"/>
  <pageSetup orientation="landscape" scale="80" r:id="rId1"/>
  <headerFooter alignWithMargins="0">
    <oddHeader>&amp;L&amp;"MS Sans Serif,Bold"&amp;12Laminate Material List</oddHeader>
    <oddFooter>&amp;L&amp;F&amp;CPage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4"/>
  <sheetViews>
    <sheetView tabSelected="1" workbookViewId="0" topLeftCell="A57">
      <selection activeCell="J75" sqref="J75"/>
    </sheetView>
  </sheetViews>
  <sheetFormatPr defaultColWidth="9.140625" defaultRowHeight="12.75"/>
  <cols>
    <col min="1" max="1" width="5.28125" style="0" customWidth="1"/>
    <col min="3" max="3" width="16.421875" style="0" customWidth="1"/>
    <col min="5" max="5" width="9.8515625" style="0" customWidth="1"/>
    <col min="6" max="6" width="12.57421875" style="0" customWidth="1"/>
    <col min="7" max="7" width="10.8515625" style="0" customWidth="1"/>
    <col min="8" max="8" width="11.00390625" style="0" customWidth="1"/>
  </cols>
  <sheetData>
    <row r="1" spans="1:16" ht="15.75">
      <c r="A1" s="13" t="s">
        <v>0</v>
      </c>
      <c r="B1" s="14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77" t="s">
        <v>42</v>
      </c>
      <c r="B2" s="78"/>
      <c r="C2" s="78" t="s">
        <v>45</v>
      </c>
      <c r="D2" s="78"/>
      <c r="E2" s="78"/>
      <c r="F2" s="78"/>
      <c r="G2" s="78"/>
      <c r="H2" s="78" t="s">
        <v>44</v>
      </c>
      <c r="I2" s="78"/>
      <c r="J2" s="78"/>
      <c r="K2" s="78"/>
      <c r="L2" s="78"/>
      <c r="M2" s="78"/>
      <c r="N2" s="78"/>
      <c r="O2" s="78"/>
      <c r="P2" s="78"/>
    </row>
    <row r="3" spans="1:16" ht="12.75">
      <c r="A3" s="77"/>
      <c r="B3" s="78"/>
      <c r="C3" s="79"/>
      <c r="D3" s="79"/>
      <c r="E3" s="79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2.75">
      <c r="A4" s="1"/>
      <c r="C4" s="1"/>
      <c r="E4" s="33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1"/>
      <c r="C5" s="1"/>
      <c r="E5" s="33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/>
      <c r="C6" s="1"/>
      <c r="E6" s="33"/>
      <c r="H6" s="2"/>
      <c r="I6" s="2"/>
      <c r="J6" s="2"/>
      <c r="K6" s="2"/>
      <c r="L6" s="2"/>
      <c r="M6" s="2"/>
      <c r="N6" s="2"/>
      <c r="O6" s="2"/>
      <c r="P6" s="2"/>
    </row>
    <row r="7" spans="1:5" ht="15.75" customHeight="1">
      <c r="A7" s="1"/>
      <c r="C7" s="1"/>
      <c r="E7" s="33"/>
    </row>
    <row r="8" spans="1:5" ht="15.75" customHeight="1">
      <c r="A8" s="1"/>
      <c r="C8" s="1"/>
      <c r="E8" s="33"/>
    </row>
    <row r="9" spans="1:16" ht="15.75" customHeight="1">
      <c r="A9" s="1"/>
      <c r="C9" s="1"/>
      <c r="E9" s="33"/>
      <c r="H9" s="2"/>
      <c r="I9" s="2"/>
      <c r="J9" s="2"/>
      <c r="K9" s="2"/>
      <c r="L9" s="2"/>
      <c r="M9" s="2"/>
      <c r="N9" s="2"/>
      <c r="O9" s="2"/>
      <c r="P9" s="2"/>
    </row>
    <row r="10" spans="1:5" ht="12.75">
      <c r="A10" s="1"/>
      <c r="C10" s="1"/>
      <c r="E10" s="33"/>
    </row>
    <row r="11" spans="1:5" ht="12.75">
      <c r="A11" s="1"/>
      <c r="C11" s="1"/>
      <c r="E11" s="33"/>
    </row>
    <row r="12" spans="3:5" ht="12.75">
      <c r="C12" s="1"/>
      <c r="E12" s="33"/>
    </row>
    <row r="13" spans="3:5" ht="12.75" customHeight="1">
      <c r="C13" s="1"/>
      <c r="E13" s="33"/>
    </row>
    <row r="14" spans="3:5" ht="12.75" customHeight="1">
      <c r="C14" s="1"/>
      <c r="E14" s="33"/>
    </row>
    <row r="15" spans="3:5" ht="12.75" customHeight="1">
      <c r="C15" s="1"/>
      <c r="E15" s="33"/>
    </row>
    <row r="16" ht="12.75" customHeight="1" thickBot="1"/>
    <row r="17" spans="1:16" ht="12.75" customHeight="1" thickBot="1">
      <c r="A17" s="16" t="s">
        <v>10</v>
      </c>
      <c r="B17" s="17"/>
      <c r="C17" s="17" t="s">
        <v>9</v>
      </c>
      <c r="D17" s="17"/>
      <c r="E17" s="17">
        <f>$A$4</f>
        <v>0</v>
      </c>
      <c r="F17" s="17">
        <f>$A$5</f>
        <v>0</v>
      </c>
      <c r="G17" s="17">
        <f>$A$6</f>
        <v>0</v>
      </c>
      <c r="H17" s="17">
        <f>$A$7</f>
        <v>0</v>
      </c>
      <c r="I17" s="17">
        <f>$A$8</f>
        <v>0</v>
      </c>
      <c r="J17" s="17">
        <f>$A$9</f>
        <v>0</v>
      </c>
      <c r="K17" s="17">
        <f>$A$10</f>
        <v>0</v>
      </c>
      <c r="L17" s="17">
        <f>$A$11</f>
        <v>0</v>
      </c>
      <c r="M17" s="17">
        <f>$A$12</f>
        <v>0</v>
      </c>
      <c r="N17" s="17">
        <f>$A$13</f>
        <v>0</v>
      </c>
      <c r="O17" s="17">
        <f>+$A$14</f>
        <v>0</v>
      </c>
      <c r="P17" s="17">
        <f>$A$15</f>
        <v>0</v>
      </c>
    </row>
    <row r="18" spans="4:16" ht="12.75"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2.75">
      <c r="A19" s="2" t="str">
        <f>master!B4</f>
        <v>ring surface one modul</v>
      </c>
      <c r="C19" s="68" t="s">
        <v>11</v>
      </c>
      <c r="D19" s="66">
        <f>master!E4</f>
        <v>99</v>
      </c>
      <c r="E19" s="66">
        <f>D19*1.3</f>
        <v>128.70000000000002</v>
      </c>
      <c r="F19" s="66" t="s">
        <v>104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/>
      <c r="O19" s="66"/>
      <c r="P19" s="66">
        <v>0</v>
      </c>
    </row>
    <row r="20" spans="1:16" ht="12.75">
      <c r="A20" s="2"/>
      <c r="C20" s="15" t="s">
        <v>12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2.75">
      <c r="A21" s="1" t="str">
        <f>master!B6</f>
        <v>total 6 modules</v>
      </c>
      <c r="C21" s="68" t="s">
        <v>11</v>
      </c>
      <c r="D21" s="66">
        <f>master!E6</f>
        <v>594</v>
      </c>
      <c r="E21" s="66">
        <f>D21*1.3</f>
        <v>772.2</v>
      </c>
      <c r="F21" s="66" t="s">
        <v>104</v>
      </c>
      <c r="G21" s="66"/>
      <c r="H21" s="66">
        <f>H19*2</f>
        <v>0</v>
      </c>
      <c r="I21" s="66">
        <f aca="true" t="shared" si="0" ref="I21:P21">I19*2</f>
        <v>0</v>
      </c>
      <c r="J21" s="66">
        <f t="shared" si="0"/>
        <v>0</v>
      </c>
      <c r="K21" s="66">
        <f t="shared" si="0"/>
        <v>0</v>
      </c>
      <c r="L21" s="66">
        <f t="shared" si="0"/>
        <v>0</v>
      </c>
      <c r="M21" s="66">
        <f t="shared" si="0"/>
        <v>0</v>
      </c>
      <c r="N21" s="66"/>
      <c r="O21" s="66"/>
      <c r="P21" s="66">
        <f t="shared" si="0"/>
        <v>0</v>
      </c>
    </row>
    <row r="22" spans="1:16" ht="12.75">
      <c r="A22" s="1"/>
      <c r="C22" s="1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4:16" ht="12.75"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4:16" ht="13.5" thickBot="1"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3.5" thickBot="1">
      <c r="A25" s="16" t="s">
        <v>13</v>
      </c>
      <c r="B25" s="17"/>
      <c r="C25" s="17"/>
      <c r="D25" s="35"/>
      <c r="E25" s="17">
        <f>$A$4</f>
        <v>0</v>
      </c>
      <c r="F25" s="17">
        <f>$A$5</f>
        <v>0</v>
      </c>
      <c r="G25" s="17">
        <f>$A$6</f>
        <v>0</v>
      </c>
      <c r="H25" s="17">
        <f>$A$7</f>
        <v>0</v>
      </c>
      <c r="I25" s="17">
        <f>$A$8</f>
        <v>0</v>
      </c>
      <c r="J25" s="17">
        <f>$A$9</f>
        <v>0</v>
      </c>
      <c r="K25" s="17">
        <f>$A$10</f>
        <v>0</v>
      </c>
      <c r="L25" s="17">
        <f>$A$11</f>
        <v>0</v>
      </c>
      <c r="M25" s="17">
        <f>$A$12</f>
        <v>0</v>
      </c>
      <c r="N25" s="17">
        <f>$A$13</f>
        <v>0</v>
      </c>
      <c r="O25" s="17">
        <f>+$A$14</f>
        <v>0</v>
      </c>
      <c r="P25" s="17">
        <f>$A$15</f>
        <v>0</v>
      </c>
    </row>
    <row r="26" spans="1:16" ht="12.75">
      <c r="A26" s="2" t="str">
        <f>master!B11</f>
        <v>1 wall</v>
      </c>
      <c r="C26" s="68" t="s">
        <v>11</v>
      </c>
      <c r="D26" s="66">
        <f>master!E11</f>
        <v>23.4</v>
      </c>
      <c r="E26" s="66">
        <f>D26*1.75</f>
        <v>40.949999999999996</v>
      </c>
      <c r="F26" s="66" t="s">
        <v>9</v>
      </c>
      <c r="G26" s="66" t="s">
        <v>9</v>
      </c>
      <c r="H26" s="66"/>
      <c r="I26" s="66"/>
      <c r="J26" s="66"/>
      <c r="K26" s="66"/>
      <c r="L26" s="66"/>
      <c r="M26" s="66"/>
      <c r="N26" s="66"/>
      <c r="O26" s="66">
        <f>D26</f>
        <v>23.4</v>
      </c>
      <c r="P26" s="66"/>
    </row>
    <row r="27" spans="1:16" ht="12.75">
      <c r="A27" s="2"/>
      <c r="C27" s="15" t="s">
        <v>12</v>
      </c>
      <c r="D27" s="34">
        <f>SUM(D26*0.09290304)</f>
        <v>2.173931136</v>
      </c>
      <c r="E27" s="34">
        <f>SUM(E26*0.4536)</f>
        <v>18.57492</v>
      </c>
      <c r="F27" s="34"/>
      <c r="G27" s="34"/>
      <c r="H27" s="34"/>
      <c r="I27" s="34"/>
      <c r="J27" s="34"/>
      <c r="K27" s="34"/>
      <c r="L27" s="34"/>
      <c r="M27" s="34"/>
      <c r="N27" s="34"/>
      <c r="O27" s="34">
        <f>SUM(O26*0.09290304)</f>
        <v>2.173931136</v>
      </c>
      <c r="P27" s="34"/>
    </row>
    <row r="28" spans="1:16" ht="12.75">
      <c r="A28" s="1" t="str">
        <f>master!B13</f>
        <v>2 wall</v>
      </c>
      <c r="C28" s="68" t="s">
        <v>11</v>
      </c>
      <c r="D28" s="66">
        <f>master!E13</f>
        <v>48</v>
      </c>
      <c r="E28" s="66">
        <f>D28*1.75</f>
        <v>84</v>
      </c>
      <c r="F28" s="66" t="s">
        <v>9</v>
      </c>
      <c r="G28" s="66" t="s">
        <v>9</v>
      </c>
      <c r="H28" s="66"/>
      <c r="I28" s="66"/>
      <c r="J28" s="66"/>
      <c r="K28" s="66"/>
      <c r="L28" s="66"/>
      <c r="M28" s="66"/>
      <c r="N28" s="66"/>
      <c r="O28" s="66">
        <f>K28*2</f>
        <v>0</v>
      </c>
      <c r="P28" s="66"/>
    </row>
    <row r="29" spans="1:16" ht="12.75">
      <c r="A29" s="1"/>
      <c r="C29" s="15" t="s">
        <v>12</v>
      </c>
      <c r="D29" s="34">
        <f>SUM(D28*0.09290304)</f>
        <v>4.4593459200000005</v>
      </c>
      <c r="E29" s="34">
        <f>SUM(E28*0.4536)</f>
        <v>38.1024</v>
      </c>
      <c r="F29" s="34"/>
      <c r="G29" s="34"/>
      <c r="H29" s="34"/>
      <c r="I29" s="34"/>
      <c r="J29" s="34"/>
      <c r="K29" s="34"/>
      <c r="L29" s="34"/>
      <c r="M29" s="34"/>
      <c r="N29" s="34"/>
      <c r="O29" s="34">
        <f>SUM(O28*0.09290304)</f>
        <v>0</v>
      </c>
      <c r="P29" s="34"/>
    </row>
    <row r="30" spans="1:16" ht="12.75">
      <c r="A30" s="2" t="str">
        <f>master!B15</f>
        <v>3 wall</v>
      </c>
      <c r="C30" s="68" t="s">
        <v>11</v>
      </c>
      <c r="D30" s="66">
        <f>master!E15</f>
        <v>25.7</v>
      </c>
      <c r="E30" s="66">
        <f>D30*1.75</f>
        <v>44.975</v>
      </c>
      <c r="F30" s="66" t="s">
        <v>9</v>
      </c>
      <c r="G30" s="66" t="s">
        <v>9</v>
      </c>
      <c r="H30" s="66"/>
      <c r="I30" s="66"/>
      <c r="J30" s="66"/>
      <c r="K30" s="66"/>
      <c r="L30" s="66"/>
      <c r="M30" s="66"/>
      <c r="N30" s="66"/>
      <c r="O30" s="66">
        <f>K30*2</f>
        <v>0</v>
      </c>
      <c r="P30" s="66"/>
    </row>
    <row r="31" spans="1:16" ht="12.75">
      <c r="A31" s="2"/>
      <c r="C31" s="15" t="s">
        <v>12</v>
      </c>
      <c r="D31" s="34">
        <f>SUM(D30*0.09290304)</f>
        <v>2.387608128</v>
      </c>
      <c r="E31" s="34">
        <f>SUM(E30*0.4536)</f>
        <v>20.400660000000002</v>
      </c>
      <c r="F31" s="34"/>
      <c r="G31" s="34"/>
      <c r="H31" s="34"/>
      <c r="I31" s="34"/>
      <c r="J31" s="34"/>
      <c r="K31" s="34"/>
      <c r="L31" s="34"/>
      <c r="M31" s="34"/>
      <c r="N31" s="34"/>
      <c r="O31" s="34">
        <f>SUM(O30*0.09290304)</f>
        <v>0</v>
      </c>
      <c r="P31" s="34"/>
    </row>
    <row r="32" spans="1:16" ht="12.75">
      <c r="A32" s="1" t="str">
        <f>master!B17</f>
        <v>4 wall</v>
      </c>
      <c r="C32" s="68" t="s">
        <v>11</v>
      </c>
      <c r="D32" s="66">
        <f>master!E17</f>
        <v>48</v>
      </c>
      <c r="E32" s="66">
        <f>D32*1.75</f>
        <v>84</v>
      </c>
      <c r="F32" s="66"/>
      <c r="G32" s="66"/>
      <c r="H32" s="66"/>
      <c r="I32" s="66"/>
      <c r="J32" s="66"/>
      <c r="K32" s="66"/>
      <c r="L32" s="66"/>
      <c r="M32" s="66"/>
      <c r="N32" s="66"/>
      <c r="O32" s="66">
        <f>D32</f>
        <v>48</v>
      </c>
      <c r="P32" s="66"/>
    </row>
    <row r="33" spans="1:16" ht="12.75">
      <c r="A33" s="1"/>
      <c r="C33" s="15" t="s">
        <v>12</v>
      </c>
      <c r="D33" s="34">
        <f>SUM(D32*0.09290304)</f>
        <v>4.4593459200000005</v>
      </c>
      <c r="E33" s="34">
        <f>SUM(E32*0.4536)</f>
        <v>38.1024</v>
      </c>
      <c r="F33" s="34"/>
      <c r="G33" s="34"/>
      <c r="H33" s="34"/>
      <c r="I33" s="34"/>
      <c r="J33" s="34"/>
      <c r="K33" s="34"/>
      <c r="L33" s="34"/>
      <c r="M33" s="34"/>
      <c r="N33" s="34"/>
      <c r="O33" s="34">
        <f>SUM(O32*0.09290304)</f>
        <v>4.4593459200000005</v>
      </c>
      <c r="P33" s="34"/>
    </row>
    <row r="34" spans="1:16" ht="12.75">
      <c r="A34" s="1" t="str">
        <f>master!B19</f>
        <v>5 wall</v>
      </c>
      <c r="C34" s="68" t="s">
        <v>11</v>
      </c>
      <c r="D34" s="66">
        <f>master!E19</f>
        <v>24</v>
      </c>
      <c r="E34" s="66">
        <f>D34*1.75</f>
        <v>42</v>
      </c>
      <c r="F34" s="66"/>
      <c r="G34" s="66"/>
      <c r="H34" s="66"/>
      <c r="I34" s="66"/>
      <c r="J34" s="66"/>
      <c r="K34" s="66"/>
      <c r="L34" s="66"/>
      <c r="M34" s="66"/>
      <c r="O34" s="66">
        <f>D34</f>
        <v>24</v>
      </c>
      <c r="P34" s="66"/>
    </row>
    <row r="35" spans="1:16" ht="12.75">
      <c r="A35" s="1"/>
      <c r="C35" s="15" t="s">
        <v>12</v>
      </c>
      <c r="D35" s="34">
        <f>SUM(D34*0.09290304)</f>
        <v>2.2296729600000003</v>
      </c>
      <c r="E35" s="34">
        <f>SUM(E34*0.4536)</f>
        <v>19.0512</v>
      </c>
      <c r="F35" s="34"/>
      <c r="G35" s="34"/>
      <c r="H35" s="34"/>
      <c r="I35" s="34"/>
      <c r="J35" s="34"/>
      <c r="K35" s="34"/>
      <c r="L35" s="34"/>
      <c r="M35" s="34"/>
      <c r="O35" s="34">
        <f>SUM(O34*0.09290304)</f>
        <v>2.2296729600000003</v>
      </c>
      <c r="P35" s="34"/>
    </row>
    <row r="36" spans="1:16" ht="12.75">
      <c r="A36" s="1" t="str">
        <f>master!B21</f>
        <v>6 wall</v>
      </c>
      <c r="C36" s="68" t="s">
        <v>11</v>
      </c>
      <c r="D36" s="66">
        <f>master!E21</f>
        <v>11</v>
      </c>
      <c r="E36" s="66">
        <f>D36*1.75</f>
        <v>19.25</v>
      </c>
      <c r="F36" s="66"/>
      <c r="G36" s="66"/>
      <c r="H36" s="66"/>
      <c r="I36" s="66"/>
      <c r="J36" s="66"/>
      <c r="K36" s="66"/>
      <c r="L36" s="66"/>
      <c r="M36" s="66"/>
      <c r="O36" s="66">
        <f>D36</f>
        <v>11</v>
      </c>
      <c r="P36" s="66"/>
    </row>
    <row r="37" spans="1:16" ht="12.75">
      <c r="A37" s="1"/>
      <c r="C37" s="15" t="s">
        <v>12</v>
      </c>
      <c r="D37" s="34">
        <f>SUM(D36*0.09290304)</f>
        <v>1.02193344</v>
      </c>
      <c r="E37" s="34">
        <f>SUM(E36*0.4536)</f>
        <v>8.7318</v>
      </c>
      <c r="F37" s="34"/>
      <c r="G37" s="34"/>
      <c r="H37" s="34"/>
      <c r="I37" s="34"/>
      <c r="J37" s="34"/>
      <c r="K37" s="34"/>
      <c r="L37" s="34"/>
      <c r="M37" s="34"/>
      <c r="O37" s="34">
        <f>SUM(O36*0.09290304)</f>
        <v>1.02193344</v>
      </c>
      <c r="P37" s="34"/>
    </row>
    <row r="38" spans="1:16" ht="12.75">
      <c r="A38" s="1" t="str">
        <f>master!B23</f>
        <v>galley expansion</v>
      </c>
      <c r="C38" s="68" t="s">
        <v>11</v>
      </c>
      <c r="D38" s="66">
        <f>master!E23</f>
        <v>49</v>
      </c>
      <c r="E38" s="66">
        <f>D38*1.75</f>
        <v>85.75</v>
      </c>
      <c r="F38" s="66"/>
      <c r="G38" s="66"/>
      <c r="H38" s="66"/>
      <c r="I38" s="66"/>
      <c r="J38" s="66"/>
      <c r="K38" s="66"/>
      <c r="L38" s="66"/>
      <c r="M38" s="66"/>
      <c r="O38" s="66">
        <f>D38</f>
        <v>49</v>
      </c>
      <c r="P38" s="66"/>
    </row>
    <row r="39" spans="1:16" ht="12.75">
      <c r="A39" s="1"/>
      <c r="C39" s="15" t="s">
        <v>12</v>
      </c>
      <c r="D39" s="34">
        <f>SUM(D38*0.09290304)</f>
        <v>4.55224896</v>
      </c>
      <c r="E39" s="34">
        <f>SUM(E38*0.4536)</f>
        <v>38.8962</v>
      </c>
      <c r="F39" s="34"/>
      <c r="G39" s="34"/>
      <c r="H39" s="34"/>
      <c r="I39" s="34"/>
      <c r="J39" s="34"/>
      <c r="K39" s="34"/>
      <c r="L39" s="34"/>
      <c r="M39" s="34"/>
      <c r="O39" s="34">
        <f>SUM(O38*0.09290304)</f>
        <v>4.55224896</v>
      </c>
      <c r="P39" s="34"/>
    </row>
    <row r="40" spans="1:16" ht="12.75">
      <c r="A40" s="1" t="str">
        <f>master!B25</f>
        <v>head expansion</v>
      </c>
      <c r="C40" s="68" t="s">
        <v>11</v>
      </c>
      <c r="D40" s="66">
        <f>master!E25</f>
        <v>84</v>
      </c>
      <c r="E40" s="66">
        <f>D40*1.75</f>
        <v>147</v>
      </c>
      <c r="F40" s="66"/>
      <c r="G40" s="66"/>
      <c r="H40" s="66"/>
      <c r="I40" s="66"/>
      <c r="J40" s="66"/>
      <c r="K40" s="66"/>
      <c r="L40" s="66"/>
      <c r="M40" s="66"/>
      <c r="O40" s="66">
        <f>D40</f>
        <v>84</v>
      </c>
      <c r="P40" s="66"/>
    </row>
    <row r="41" spans="1:16" ht="12.75">
      <c r="A41" s="1"/>
      <c r="C41" s="15" t="s">
        <v>12</v>
      </c>
      <c r="D41" s="34">
        <f>SUM(D40*0.09290304)</f>
        <v>7.803855360000001</v>
      </c>
      <c r="E41" s="34">
        <f>SUM(E40*0.4536)</f>
        <v>66.6792</v>
      </c>
      <c r="F41" s="34"/>
      <c r="G41" s="34"/>
      <c r="H41" s="34"/>
      <c r="I41" s="34"/>
      <c r="J41" s="34"/>
      <c r="K41" s="34"/>
      <c r="L41" s="34"/>
      <c r="M41" s="34"/>
      <c r="O41" s="34">
        <f>SUM(O40*0.09290304)</f>
        <v>7.803855360000001</v>
      </c>
      <c r="P41" s="34"/>
    </row>
    <row r="42" spans="1:16" ht="12.75">
      <c r="A42" s="1" t="str">
        <f>master!B27</f>
        <v>stitting expansion</v>
      </c>
      <c r="C42" s="68" t="s">
        <v>11</v>
      </c>
      <c r="D42" s="66">
        <f>master!E27</f>
        <v>135</v>
      </c>
      <c r="E42" s="66">
        <f>D42*1.75</f>
        <v>236.25</v>
      </c>
      <c r="F42" s="66"/>
      <c r="G42" s="66"/>
      <c r="H42" s="66"/>
      <c r="I42" s="66"/>
      <c r="J42" s="66"/>
      <c r="K42" s="66"/>
      <c r="L42" s="66"/>
      <c r="M42" s="66"/>
      <c r="N42" s="66"/>
      <c r="O42" s="66">
        <f>D42</f>
        <v>135</v>
      </c>
      <c r="P42" s="66"/>
    </row>
    <row r="43" spans="1:16" ht="12.75">
      <c r="A43" s="1"/>
      <c r="C43" s="15" t="s">
        <v>12</v>
      </c>
      <c r="D43" s="34">
        <f>SUM(D42*0.09290304)</f>
        <v>12.5419104</v>
      </c>
      <c r="E43" s="34">
        <f>SUM(E42*0.4536)</f>
        <v>107.163</v>
      </c>
      <c r="F43" s="34"/>
      <c r="G43" s="34"/>
      <c r="H43" s="34"/>
      <c r="I43" s="34"/>
      <c r="J43" s="34"/>
      <c r="K43" s="34"/>
      <c r="L43" s="34"/>
      <c r="M43" s="34"/>
      <c r="N43" s="34"/>
      <c r="O43" s="34">
        <f>SUM(O42*0.09290304)</f>
        <v>12.5419104</v>
      </c>
      <c r="P43" s="34"/>
    </row>
    <row r="44" spans="1:16" ht="12.75">
      <c r="A44" s="1" t="str">
        <f>master!B31</f>
        <v>lounge base</v>
      </c>
      <c r="C44" s="68" t="s">
        <v>11</v>
      </c>
      <c r="D44" s="66">
        <f>master!E31</f>
        <v>99</v>
      </c>
      <c r="E44" s="66">
        <f>D44*1.75</f>
        <v>173.25</v>
      </c>
      <c r="F44" s="66"/>
      <c r="G44" s="66"/>
      <c r="H44" s="66"/>
      <c r="I44" s="66"/>
      <c r="J44" s="66"/>
      <c r="K44" s="66"/>
      <c r="L44" s="66"/>
      <c r="M44" s="66"/>
      <c r="N44" s="66"/>
      <c r="O44" s="66">
        <f>D44</f>
        <v>99</v>
      </c>
      <c r="P44" s="66"/>
    </row>
    <row r="45" spans="1:16" ht="12.75">
      <c r="A45" s="1"/>
      <c r="C45" s="15" t="s">
        <v>12</v>
      </c>
      <c r="D45" s="34">
        <f>SUM(D44*0.09290304)</f>
        <v>9.197400960000001</v>
      </c>
      <c r="E45" s="34">
        <f>SUM(E44*0.4536)</f>
        <v>78.5862</v>
      </c>
      <c r="F45" s="34"/>
      <c r="G45" s="34"/>
      <c r="H45" s="34"/>
      <c r="I45" s="34"/>
      <c r="J45" s="34"/>
      <c r="K45" s="34"/>
      <c r="L45" s="34"/>
      <c r="M45" s="34"/>
      <c r="N45" s="34"/>
      <c r="O45" s="34">
        <f>SUM(O44*0.09290304)</f>
        <v>9.197400960000001</v>
      </c>
      <c r="P45" s="34"/>
    </row>
    <row r="46" spans="1:16" ht="12.75">
      <c r="A46" s="1" t="str">
        <f>master!B33</f>
        <v>main floor</v>
      </c>
      <c r="C46" s="68" t="s">
        <v>11</v>
      </c>
      <c r="D46" s="66">
        <v>120</v>
      </c>
      <c r="E46" s="66">
        <f>D46*1.75</f>
        <v>210</v>
      </c>
      <c r="F46" s="66"/>
      <c r="G46" s="66"/>
      <c r="H46" s="66"/>
      <c r="I46" s="66"/>
      <c r="K46" s="66"/>
      <c r="L46" s="66"/>
      <c r="M46" s="66"/>
      <c r="N46" s="66"/>
      <c r="O46" s="66">
        <f>D46</f>
        <v>120</v>
      </c>
      <c r="P46" s="66"/>
    </row>
    <row r="47" spans="1:16" ht="12.75">
      <c r="A47" s="1"/>
      <c r="C47" s="15" t="s">
        <v>12</v>
      </c>
      <c r="D47" s="34">
        <f>SUM(D46*0.09290304)</f>
        <v>11.148364800000001</v>
      </c>
      <c r="E47" s="34">
        <f>SUM(E46*0.4536)</f>
        <v>95.256</v>
      </c>
      <c r="F47" s="34"/>
      <c r="G47" s="34"/>
      <c r="H47" s="34"/>
      <c r="I47" s="34"/>
      <c r="K47" s="34"/>
      <c r="L47" s="34"/>
      <c r="M47" s="34"/>
      <c r="N47" s="34"/>
      <c r="O47" s="34">
        <f>SUM(O46*0.09290304)</f>
        <v>11.148364800000001</v>
      </c>
      <c r="P47" s="34"/>
    </row>
    <row r="48" spans="1:16" ht="12.75">
      <c r="A48" s="1" t="str">
        <f>master!B37</f>
        <v>top</v>
      </c>
      <c r="C48" s="68" t="s">
        <v>11</v>
      </c>
      <c r="D48" s="66">
        <v>120</v>
      </c>
      <c r="E48" s="66">
        <f>D48*1.75</f>
        <v>210</v>
      </c>
      <c r="F48" s="66"/>
      <c r="G48" s="66"/>
      <c r="H48" s="66"/>
      <c r="I48" s="66"/>
      <c r="K48" s="66"/>
      <c r="L48" s="66"/>
      <c r="M48" s="66"/>
      <c r="N48" s="66"/>
      <c r="O48" s="66">
        <f>D48</f>
        <v>120</v>
      </c>
      <c r="P48" s="66"/>
    </row>
    <row r="49" spans="1:16" ht="12.75">
      <c r="A49" s="1"/>
      <c r="C49" s="15" t="s">
        <v>12</v>
      </c>
      <c r="D49" s="34">
        <f>SUM(D48*0.09290304)</f>
        <v>11.148364800000001</v>
      </c>
      <c r="E49" s="34">
        <f>SUM(E48*0.4536)</f>
        <v>95.256</v>
      </c>
      <c r="F49" s="34"/>
      <c r="G49" s="34"/>
      <c r="H49" s="34"/>
      <c r="I49" s="34"/>
      <c r="K49" s="34"/>
      <c r="L49" s="34"/>
      <c r="M49" s="34"/>
      <c r="N49" s="34"/>
      <c r="O49" s="34">
        <f>SUM(O48*0.09290304)</f>
        <v>11.148364800000001</v>
      </c>
      <c r="P49" s="34"/>
    </row>
    <row r="50" spans="1:16" ht="12.75">
      <c r="A50" s="1" t="str">
        <f>master!B39</f>
        <v>6 lounge walls</v>
      </c>
      <c r="C50" s="68" t="s">
        <v>11</v>
      </c>
      <c r="D50" s="66">
        <f>master!E39</f>
        <v>229</v>
      </c>
      <c r="E50" s="66">
        <f>D50*1.75</f>
        <v>400.75</v>
      </c>
      <c r="F50" s="66"/>
      <c r="G50" s="66"/>
      <c r="H50" s="66"/>
      <c r="I50" s="66"/>
      <c r="K50" s="66"/>
      <c r="L50" s="66"/>
      <c r="M50" s="66"/>
      <c r="N50" s="66"/>
      <c r="O50" s="66">
        <f>D50</f>
        <v>229</v>
      </c>
      <c r="P50" s="66"/>
    </row>
    <row r="51" spans="1:16" ht="12.75">
      <c r="A51" s="1"/>
      <c r="C51" s="15" t="s">
        <v>12</v>
      </c>
      <c r="D51" s="34">
        <f>SUM(D50*0.09290304)</f>
        <v>21.27479616</v>
      </c>
      <c r="E51" s="34">
        <f>SUM(E50*0.4536)</f>
        <v>181.7802</v>
      </c>
      <c r="F51" s="34"/>
      <c r="G51" s="34"/>
      <c r="H51" s="34"/>
      <c r="I51" s="34"/>
      <c r="K51" s="34"/>
      <c r="L51" s="34"/>
      <c r="M51" s="34"/>
      <c r="N51" s="34"/>
      <c r="O51" s="34">
        <f>SUM(O50*0.09290304)</f>
        <v>21.27479616</v>
      </c>
      <c r="P51" s="34"/>
    </row>
    <row r="52" spans="1:16" ht="12.75">
      <c r="A52" s="1" t="s">
        <v>107</v>
      </c>
      <c r="C52" s="68" t="s">
        <v>11</v>
      </c>
      <c r="D52" s="66">
        <v>0</v>
      </c>
      <c r="E52" s="66">
        <v>900</v>
      </c>
      <c r="F52" s="66"/>
      <c r="G52" s="66"/>
      <c r="H52" s="66"/>
      <c r="I52" s="66"/>
      <c r="J52" s="66">
        <f>D52</f>
        <v>0</v>
      </c>
      <c r="K52" s="66"/>
      <c r="L52" s="66"/>
      <c r="M52" s="66"/>
      <c r="N52" s="66"/>
      <c r="P52" s="66"/>
    </row>
    <row r="53" spans="1:16" ht="12.75">
      <c r="A53" s="1"/>
      <c r="C53" s="15" t="s">
        <v>12</v>
      </c>
      <c r="D53" s="34">
        <f>SUM(D52*0.09290304)</f>
        <v>0</v>
      </c>
      <c r="E53" s="34">
        <f>SUM(E52*0.4536)</f>
        <v>408.24</v>
      </c>
      <c r="F53" s="34"/>
      <c r="G53" s="34"/>
      <c r="H53" s="34"/>
      <c r="I53" s="34"/>
      <c r="J53" s="34">
        <f>SUM(J52*0.09290304)</f>
        <v>0</v>
      </c>
      <c r="K53" s="34"/>
      <c r="L53" s="34"/>
      <c r="M53" s="34"/>
      <c r="N53" s="34"/>
      <c r="P53" s="34"/>
    </row>
    <row r="54" spans="1:16" ht="12.75">
      <c r="A54" s="52" t="s">
        <v>14</v>
      </c>
      <c r="B54" s="53"/>
      <c r="C54" s="70" t="s">
        <v>11</v>
      </c>
      <c r="D54" s="67">
        <f>SUM(D26+D28+D30+D32+D34+D36+D38+D40+D42+D44+D46+D48+D50)</f>
        <v>1016.1</v>
      </c>
      <c r="E54" s="66">
        <f>(D54*1.75)+E52</f>
        <v>2678.175</v>
      </c>
      <c r="F54" s="67" t="s">
        <v>104</v>
      </c>
      <c r="G54" s="67"/>
      <c r="H54" s="67"/>
      <c r="I54" s="67">
        <f aca="true" t="shared" si="1" ref="I54:P54">SUM(I26+I28+I30+I32+I34+I36+I38+I40+I42+I44)</f>
        <v>0</v>
      </c>
      <c r="J54" s="67">
        <f>SUM(J52)</f>
        <v>0</v>
      </c>
      <c r="K54" s="67">
        <f t="shared" si="1"/>
        <v>0</v>
      </c>
      <c r="L54" s="67">
        <f t="shared" si="1"/>
        <v>0</v>
      </c>
      <c r="M54" s="67">
        <f t="shared" si="1"/>
        <v>0</v>
      </c>
      <c r="N54" s="67"/>
      <c r="O54" s="67">
        <f>SUM(O26+O28+O30+O32+O34+O36+O38+O40+O42+O44+O46+O48+O50)</f>
        <v>942.4</v>
      </c>
      <c r="P54" s="67">
        <f t="shared" si="1"/>
        <v>0</v>
      </c>
    </row>
    <row r="55" spans="1:16" ht="12.75">
      <c r="A55" s="1"/>
      <c r="C55" s="28"/>
      <c r="D55" s="36"/>
      <c r="E55" s="34"/>
      <c r="F55" s="36"/>
      <c r="G55" s="36"/>
      <c r="H55" s="36"/>
      <c r="I55" s="36">
        <f aca="true" t="shared" si="2" ref="I55:P55">SUM(I54*0.09290304)</f>
        <v>0</v>
      </c>
      <c r="J55" s="36">
        <f t="shared" si="2"/>
        <v>0</v>
      </c>
      <c r="K55" s="36">
        <f t="shared" si="2"/>
        <v>0</v>
      </c>
      <c r="L55" s="36">
        <f t="shared" si="2"/>
        <v>0</v>
      </c>
      <c r="M55" s="36">
        <f t="shared" si="2"/>
        <v>0</v>
      </c>
      <c r="N55" s="36"/>
      <c r="O55" s="36">
        <f>SUM(O54*0.09290304)</f>
        <v>87.551824896</v>
      </c>
      <c r="P55" s="36">
        <f t="shared" si="2"/>
        <v>0</v>
      </c>
    </row>
    <row r="56" spans="1:16" ht="12.75">
      <c r="A56" s="1"/>
      <c r="C56" s="68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69" spans="1:6" ht="12.75">
      <c r="A69" s="52" t="s">
        <v>100</v>
      </c>
      <c r="B69" s="53"/>
      <c r="C69" s="70" t="s">
        <v>105</v>
      </c>
      <c r="D69" s="67"/>
      <c r="E69" s="66">
        <f>E21+E54</f>
        <v>3450.375</v>
      </c>
      <c r="F69" t="s">
        <v>104</v>
      </c>
    </row>
    <row r="70" spans="1:5" ht="12.75">
      <c r="A70" s="1"/>
      <c r="C70" s="28"/>
      <c r="D70" s="36"/>
      <c r="E70" s="34"/>
    </row>
    <row r="72" spans="1:6" ht="12.75">
      <c r="A72" s="1" t="s">
        <v>101</v>
      </c>
      <c r="C72" s="68"/>
      <c r="D72" s="66">
        <v>150</v>
      </c>
      <c r="E72" s="66">
        <f>D72*3</f>
        <v>450</v>
      </c>
      <c r="F72" t="s">
        <v>104</v>
      </c>
    </row>
    <row r="73" spans="1:5" ht="12.75">
      <c r="A73" s="1"/>
      <c r="C73" s="15"/>
      <c r="D73" s="34">
        <f>SUM(D72*0.09290304)</f>
        <v>13.935456</v>
      </c>
      <c r="E73" s="34">
        <f>SUM(E72*0.4536)</f>
        <v>204.12</v>
      </c>
    </row>
    <row r="74" spans="1:6" ht="12.75">
      <c r="A74" s="1" t="s">
        <v>102</v>
      </c>
      <c r="C74" s="68"/>
      <c r="D74" s="66">
        <v>80</v>
      </c>
      <c r="E74" s="66">
        <f>D74*3</f>
        <v>240</v>
      </c>
      <c r="F74" t="s">
        <v>104</v>
      </c>
    </row>
    <row r="75" spans="1:5" ht="12.75">
      <c r="A75" s="1"/>
      <c r="C75" s="15"/>
      <c r="D75" s="34"/>
      <c r="E75" s="34"/>
    </row>
    <row r="76" spans="1:6" ht="12.75">
      <c r="A76" s="1" t="s">
        <v>106</v>
      </c>
      <c r="C76" s="68"/>
      <c r="D76" s="66">
        <v>35</v>
      </c>
      <c r="E76" s="66">
        <f>D76*6</f>
        <v>210</v>
      </c>
      <c r="F76" t="s">
        <v>104</v>
      </c>
    </row>
    <row r="78" spans="1:7" ht="12.75">
      <c r="A78" s="52" t="s">
        <v>103</v>
      </c>
      <c r="B78" s="53"/>
      <c r="C78" s="70" t="s">
        <v>11</v>
      </c>
      <c r="D78" s="67"/>
      <c r="E78" s="66">
        <f>E21+E54+E72+E74+E76</f>
        <v>4350.375</v>
      </c>
      <c r="F78" t="s">
        <v>104</v>
      </c>
      <c r="G78" t="s">
        <v>111</v>
      </c>
    </row>
    <row r="79" spans="1:5" ht="12.75">
      <c r="A79" s="1"/>
      <c r="C79" s="28"/>
      <c r="D79" s="36"/>
      <c r="E79" s="34"/>
    </row>
    <row r="81" spans="1:6" ht="12.75">
      <c r="A81" s="1" t="s">
        <v>108</v>
      </c>
      <c r="C81" s="68" t="s">
        <v>112</v>
      </c>
      <c r="D81" s="66">
        <v>239</v>
      </c>
      <c r="E81" s="66">
        <f>D81*40</f>
        <v>9560</v>
      </c>
      <c r="F81" t="s">
        <v>104</v>
      </c>
    </row>
    <row r="83" spans="1:6" ht="12.75">
      <c r="A83" s="52" t="s">
        <v>103</v>
      </c>
      <c r="B83" s="53"/>
      <c r="C83" s="70" t="s">
        <v>110</v>
      </c>
      <c r="D83" s="67"/>
      <c r="E83" s="66">
        <f>E78+E81</f>
        <v>13910.375</v>
      </c>
      <c r="F83" t="s">
        <v>104</v>
      </c>
    </row>
    <row r="84" spans="1:5" ht="12.75">
      <c r="A84" s="1" t="s">
        <v>109</v>
      </c>
      <c r="C84" s="28"/>
      <c r="D84" s="36"/>
      <c r="E84" s="34"/>
    </row>
  </sheetData>
  <printOptions gridLines="1"/>
  <pageMargins left="0.31" right="0.5" top="0.65" bottom="0.51" header="0.36" footer="0.29"/>
  <pageSetup orientation="landscape" scale="80" r:id="rId1"/>
  <headerFooter alignWithMargins="0">
    <oddHeader>&amp;L&amp;"MS Sans Serif,Bold"&amp;12Exotics Material List</oddHeader>
    <oddFooter>&amp;L&amp;F&amp;CPage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74"/>
  <sheetViews>
    <sheetView zoomScale="75" zoomScaleNormal="75" workbookViewId="0" topLeftCell="A35">
      <selection activeCell="Q56" sqref="A1:Q56"/>
    </sheetView>
  </sheetViews>
  <sheetFormatPr defaultColWidth="9.140625" defaultRowHeight="12.75"/>
  <cols>
    <col min="2" max="2" width="16.421875" style="0" customWidth="1"/>
    <col min="3" max="3" width="10.8515625" style="0" customWidth="1"/>
    <col min="4" max="4" width="9.8515625" style="0" customWidth="1"/>
    <col min="5" max="5" width="10.28125" style="0" customWidth="1"/>
    <col min="6" max="6" width="10.140625" style="0" customWidth="1"/>
    <col min="7" max="7" width="10.00390625" style="0" customWidth="1"/>
    <col min="13" max="13" width="9.7109375" style="0" bestFit="1" customWidth="1"/>
  </cols>
  <sheetData>
    <row r="1" spans="1:16" ht="15.75">
      <c r="A1" s="13" t="s">
        <v>0</v>
      </c>
      <c r="B1" s="14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77" t="s">
        <v>42</v>
      </c>
      <c r="B2" s="78"/>
      <c r="C2" s="78" t="s">
        <v>45</v>
      </c>
      <c r="D2" s="78"/>
      <c r="E2" s="78"/>
      <c r="F2" s="78"/>
      <c r="G2" s="78"/>
      <c r="H2" s="78" t="s">
        <v>44</v>
      </c>
      <c r="I2" s="78"/>
      <c r="J2" s="78"/>
      <c r="K2" s="78"/>
      <c r="L2" s="78"/>
      <c r="M2" s="78"/>
      <c r="N2" s="78"/>
      <c r="O2" s="78"/>
      <c r="P2" s="78"/>
    </row>
    <row r="3" spans="1:16" ht="15.75">
      <c r="A3" s="77"/>
      <c r="B3" s="78"/>
      <c r="C3" s="79" t="s">
        <v>67</v>
      </c>
      <c r="D3" s="79" t="s">
        <v>71</v>
      </c>
      <c r="E3" s="79" t="s">
        <v>72</v>
      </c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2.75">
      <c r="A4" s="1"/>
      <c r="C4" s="1"/>
      <c r="E4" s="33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1"/>
      <c r="C5" s="1"/>
      <c r="E5" s="33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/>
      <c r="C6" s="1"/>
      <c r="E6" s="33"/>
      <c r="H6" s="2"/>
      <c r="I6" s="2"/>
      <c r="J6" s="2"/>
      <c r="K6" s="2"/>
      <c r="L6" s="2"/>
      <c r="M6" s="2"/>
      <c r="N6" s="2"/>
      <c r="O6" s="2"/>
      <c r="P6" s="2"/>
    </row>
    <row r="7" spans="1:5" ht="12.75">
      <c r="A7" s="1"/>
      <c r="C7" s="1"/>
      <c r="E7" s="33"/>
    </row>
    <row r="8" spans="1:5" ht="12.75">
      <c r="A8" s="1"/>
      <c r="C8" s="1"/>
      <c r="E8" s="33"/>
    </row>
    <row r="9" spans="1:16" ht="12.75">
      <c r="A9" s="1" t="s">
        <v>64</v>
      </c>
      <c r="C9" s="1">
        <v>25</v>
      </c>
      <c r="D9">
        <v>200</v>
      </c>
      <c r="E9" s="33">
        <f>D9/16</f>
        <v>12.5</v>
      </c>
      <c r="H9" s="2"/>
      <c r="I9" s="2"/>
      <c r="J9" s="2"/>
      <c r="K9" s="2"/>
      <c r="L9" s="2"/>
      <c r="M9" s="2"/>
      <c r="N9" s="2"/>
      <c r="O9" s="2"/>
      <c r="P9" s="2"/>
    </row>
    <row r="10" spans="1:5" ht="12.75">
      <c r="A10" s="1"/>
      <c r="C10" s="1"/>
      <c r="E10" s="33"/>
    </row>
    <row r="11" spans="1:5" ht="12.75">
      <c r="A11" s="1"/>
      <c r="C11" s="1"/>
      <c r="E11" s="33"/>
    </row>
    <row r="12" spans="3:5" ht="15.75" customHeight="1">
      <c r="C12" s="1"/>
      <c r="E12" s="33"/>
    </row>
    <row r="13" spans="3:5" ht="15.75" customHeight="1">
      <c r="C13" s="1"/>
      <c r="E13" s="33"/>
    </row>
    <row r="14" spans="1:5" ht="15.75" customHeight="1">
      <c r="A14" t="s">
        <v>65</v>
      </c>
      <c r="C14" s="1">
        <v>50</v>
      </c>
      <c r="D14">
        <v>2</v>
      </c>
      <c r="E14" s="33">
        <f>D14/16</f>
        <v>0.125</v>
      </c>
    </row>
    <row r="15" spans="3:5" ht="15.75" customHeight="1">
      <c r="C15" s="1"/>
      <c r="E15" s="33"/>
    </row>
    <row r="16" ht="15.75" customHeight="1" thickBot="1"/>
    <row r="17" spans="1:16" ht="15.75" customHeight="1" thickBot="1">
      <c r="A17" s="16" t="s">
        <v>10</v>
      </c>
      <c r="B17" s="17"/>
      <c r="C17" s="17" t="s">
        <v>9</v>
      </c>
      <c r="D17" s="17"/>
      <c r="E17" s="17">
        <f>$A$4</f>
        <v>0</v>
      </c>
      <c r="F17" s="17">
        <f>$A$5</f>
        <v>0</v>
      </c>
      <c r="G17" s="17">
        <f>$A$6</f>
        <v>0</v>
      </c>
      <c r="H17" s="17">
        <f>$A$7</f>
        <v>0</v>
      </c>
      <c r="I17" s="17">
        <f>$A$8</f>
        <v>0</v>
      </c>
      <c r="J17" s="17" t="str">
        <f>$A$9</f>
        <v>CORE-F</v>
      </c>
      <c r="K17" s="17">
        <f>$A$10</f>
        <v>0</v>
      </c>
      <c r="L17" s="17">
        <f>$A$11</f>
        <v>0</v>
      </c>
      <c r="M17" s="17">
        <f>$A$12</f>
        <v>0</v>
      </c>
      <c r="N17" s="17">
        <f>$A$13</f>
        <v>0</v>
      </c>
      <c r="O17" s="17" t="str">
        <f>+$A$14</f>
        <v>CORE-K</v>
      </c>
      <c r="P17" s="17">
        <f>$A$15</f>
        <v>0</v>
      </c>
    </row>
    <row r="18" spans="4:16" ht="12.75"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2.75">
      <c r="A19" s="2" t="str">
        <f>master!B4</f>
        <v>ring surface one modul</v>
      </c>
      <c r="C19" s="68" t="s">
        <v>11</v>
      </c>
      <c r="D19" s="66">
        <f>master!E4</f>
        <v>99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/>
      <c r="O19" s="66"/>
      <c r="P19" s="66">
        <v>0</v>
      </c>
    </row>
    <row r="20" spans="1:16" ht="12.75">
      <c r="A20" s="2"/>
      <c r="C20" s="15" t="s">
        <v>12</v>
      </c>
      <c r="D20" s="34">
        <f>master!E5</f>
        <v>9.197400960000001</v>
      </c>
      <c r="E20" s="34">
        <f>SUM(E19*0.09290304)</f>
        <v>0</v>
      </c>
      <c r="F20" s="34">
        <f>SUM(F19*0.09290304)</f>
        <v>0</v>
      </c>
      <c r="G20" s="34">
        <f>SUM(G19*0.09290304)</f>
        <v>0</v>
      </c>
      <c r="H20" s="34">
        <f>SUM(H19*0.09290304)</f>
        <v>0</v>
      </c>
      <c r="I20" s="34">
        <f aca="true" t="shared" si="0" ref="I20:P20">SUM(I19*0.09290304)</f>
        <v>0</v>
      </c>
      <c r="J20" s="34">
        <f t="shared" si="0"/>
        <v>0</v>
      </c>
      <c r="K20" s="34">
        <f t="shared" si="0"/>
        <v>0</v>
      </c>
      <c r="L20" s="34">
        <f t="shared" si="0"/>
        <v>0</v>
      </c>
      <c r="M20" s="34">
        <f t="shared" si="0"/>
        <v>0</v>
      </c>
      <c r="N20" s="34"/>
      <c r="O20" s="34"/>
      <c r="P20" s="34">
        <f t="shared" si="0"/>
        <v>0</v>
      </c>
    </row>
    <row r="21" spans="1:16" ht="12.75" customHeight="1">
      <c r="A21" s="1" t="str">
        <f>master!B6</f>
        <v>total 6 modules</v>
      </c>
      <c r="C21" s="68" t="s">
        <v>11</v>
      </c>
      <c r="D21" s="66">
        <f>master!E6</f>
        <v>594</v>
      </c>
      <c r="E21" s="66">
        <f>E19*2</f>
        <v>0</v>
      </c>
      <c r="F21" s="66">
        <f>F19*2</f>
        <v>0</v>
      </c>
      <c r="G21" s="66"/>
      <c r="H21" s="66">
        <f>H19*2</f>
        <v>0</v>
      </c>
      <c r="I21" s="66">
        <f aca="true" t="shared" si="1" ref="I21:P21">I19*2</f>
        <v>0</v>
      </c>
      <c r="J21" s="66">
        <f t="shared" si="1"/>
        <v>0</v>
      </c>
      <c r="K21" s="66">
        <f t="shared" si="1"/>
        <v>0</v>
      </c>
      <c r="L21" s="66">
        <f t="shared" si="1"/>
        <v>0</v>
      </c>
      <c r="M21" s="66">
        <f t="shared" si="1"/>
        <v>0</v>
      </c>
      <c r="N21" s="66"/>
      <c r="O21" s="66"/>
      <c r="P21" s="66">
        <f t="shared" si="1"/>
        <v>0</v>
      </c>
    </row>
    <row r="22" spans="1:16" ht="12.75" customHeight="1">
      <c r="A22" s="1"/>
      <c r="C22" s="15" t="s">
        <v>12</v>
      </c>
      <c r="D22" s="34">
        <f>master!E7</f>
        <v>55.184405760000004</v>
      </c>
      <c r="E22" s="34">
        <f>SUM(E21*0.09290304)</f>
        <v>0</v>
      </c>
      <c r="F22" s="34">
        <f>SUM(F21*0.09290304)</f>
        <v>0</v>
      </c>
      <c r="G22" s="34"/>
      <c r="H22" s="34">
        <f>SUM(H21*0.09290304)</f>
        <v>0</v>
      </c>
      <c r="I22" s="34">
        <f aca="true" t="shared" si="2" ref="I22:P22">SUM(I21*0.09290304)</f>
        <v>0</v>
      </c>
      <c r="J22" s="34">
        <f t="shared" si="2"/>
        <v>0</v>
      </c>
      <c r="K22" s="34">
        <f t="shared" si="2"/>
        <v>0</v>
      </c>
      <c r="L22" s="34">
        <f t="shared" si="2"/>
        <v>0</v>
      </c>
      <c r="M22" s="34">
        <f t="shared" si="2"/>
        <v>0</v>
      </c>
      <c r="N22" s="34"/>
      <c r="O22" s="34"/>
      <c r="P22" s="34">
        <f t="shared" si="2"/>
        <v>0</v>
      </c>
    </row>
    <row r="23" spans="4:16" ht="12.75" customHeight="1"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4:16" ht="12.75" customHeight="1" thickBot="1"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.75" customHeight="1" thickBot="1">
      <c r="A25" s="16" t="s">
        <v>13</v>
      </c>
      <c r="B25" s="17"/>
      <c r="C25" s="17"/>
      <c r="D25" s="35"/>
      <c r="E25" s="17">
        <f>$A$4</f>
        <v>0</v>
      </c>
      <c r="F25" s="17">
        <f>$A$5</f>
        <v>0</v>
      </c>
      <c r="G25" s="17">
        <f>$A$6</f>
        <v>0</v>
      </c>
      <c r="H25" s="17">
        <f>$A$7</f>
        <v>0</v>
      </c>
      <c r="I25" s="17">
        <f>$A$8</f>
        <v>0</v>
      </c>
      <c r="J25" s="17" t="str">
        <f>$A$9</f>
        <v>CORE-F</v>
      </c>
      <c r="K25" s="17">
        <f>$A$10</f>
        <v>0</v>
      </c>
      <c r="L25" s="17">
        <f>$A$11</f>
        <v>0</v>
      </c>
      <c r="M25" s="17">
        <f>$A$12</f>
        <v>0</v>
      </c>
      <c r="N25" s="17">
        <f>$A$13</f>
        <v>0</v>
      </c>
      <c r="O25" s="17" t="str">
        <f>+$A$14</f>
        <v>CORE-K</v>
      </c>
      <c r="P25" s="17">
        <f>$A$15</f>
        <v>0</v>
      </c>
    </row>
    <row r="26" spans="1:16" ht="12.75">
      <c r="A26" s="2" t="str">
        <f>master!B11</f>
        <v>1 wall</v>
      </c>
      <c r="C26" s="68" t="s">
        <v>11</v>
      </c>
      <c r="D26" s="66">
        <f>master!E11</f>
        <v>23.4</v>
      </c>
      <c r="E26" s="66"/>
      <c r="F26" s="66" t="s">
        <v>9</v>
      </c>
      <c r="G26" s="66" t="s">
        <v>9</v>
      </c>
      <c r="H26" s="66"/>
      <c r="I26" s="66"/>
      <c r="J26" s="66"/>
      <c r="K26" s="66"/>
      <c r="L26" s="66"/>
      <c r="M26" s="66"/>
      <c r="N26" s="66"/>
      <c r="O26" s="66">
        <f>D26</f>
        <v>23.4</v>
      </c>
      <c r="P26" s="66"/>
    </row>
    <row r="27" spans="1:16" ht="12.75">
      <c r="A27" s="2"/>
      <c r="C27" s="15" t="s">
        <v>12</v>
      </c>
      <c r="D27" s="34">
        <f>SUM(D26*0.09290304)</f>
        <v>2.173931136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>
        <f>SUM(O26*0.09290304)</f>
        <v>2.173931136</v>
      </c>
      <c r="P27" s="34"/>
    </row>
    <row r="28" spans="1:16" ht="12.75">
      <c r="A28" s="1" t="str">
        <f>master!B13</f>
        <v>2 wall</v>
      </c>
      <c r="C28" s="68" t="s">
        <v>11</v>
      </c>
      <c r="D28" s="66">
        <f>master!E13</f>
        <v>48</v>
      </c>
      <c r="E28" s="66"/>
      <c r="F28" s="66" t="s">
        <v>9</v>
      </c>
      <c r="G28" s="66" t="s">
        <v>9</v>
      </c>
      <c r="H28" s="66"/>
      <c r="I28" s="66"/>
      <c r="J28" s="66"/>
      <c r="K28" s="66"/>
      <c r="L28" s="66"/>
      <c r="M28" s="66"/>
      <c r="N28" s="66"/>
      <c r="O28" s="66">
        <f>K28*2</f>
        <v>0</v>
      </c>
      <c r="P28" s="66"/>
    </row>
    <row r="29" spans="1:16" ht="12.75">
      <c r="A29" s="1"/>
      <c r="C29" s="15" t="s">
        <v>12</v>
      </c>
      <c r="D29" s="34">
        <f>SUM(D28*0.09290304)</f>
        <v>4.4593459200000005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>
        <f>SUM(O28*0.09290304)</f>
        <v>0</v>
      </c>
      <c r="P29" s="34"/>
    </row>
    <row r="30" spans="1:16" ht="12.75">
      <c r="A30" s="2" t="str">
        <f>master!B15</f>
        <v>3 wall</v>
      </c>
      <c r="C30" s="68" t="s">
        <v>11</v>
      </c>
      <c r="D30" s="66">
        <f>master!E15</f>
        <v>25.7</v>
      </c>
      <c r="E30" s="66"/>
      <c r="F30" s="66" t="s">
        <v>9</v>
      </c>
      <c r="G30" s="66" t="s">
        <v>9</v>
      </c>
      <c r="H30" s="66"/>
      <c r="I30" s="66"/>
      <c r="J30" s="66"/>
      <c r="K30" s="66"/>
      <c r="L30" s="66"/>
      <c r="M30" s="66"/>
      <c r="N30" s="66"/>
      <c r="O30" s="66">
        <f>K30*2</f>
        <v>0</v>
      </c>
      <c r="P30" s="66"/>
    </row>
    <row r="31" spans="1:16" ht="12.75">
      <c r="A31" s="2"/>
      <c r="C31" s="15" t="s">
        <v>12</v>
      </c>
      <c r="D31" s="34">
        <f>SUM(D30*0.09290304)</f>
        <v>2.387608128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>
        <f>SUM(O30*0.09290304)</f>
        <v>0</v>
      </c>
      <c r="P31" s="34"/>
    </row>
    <row r="32" spans="1:16" ht="12.75">
      <c r="A32" s="1" t="str">
        <f>master!B17</f>
        <v>4 wall</v>
      </c>
      <c r="C32" s="68" t="s">
        <v>11</v>
      </c>
      <c r="D32" s="66">
        <f>master!E17</f>
        <v>48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>
        <f>D32</f>
        <v>48</v>
      </c>
      <c r="P32" s="66"/>
    </row>
    <row r="33" spans="1:16" ht="12.75">
      <c r="A33" s="1"/>
      <c r="C33" s="15" t="s">
        <v>12</v>
      </c>
      <c r="D33" s="34">
        <f>SUM(D32*0.09290304)</f>
        <v>4.4593459200000005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>
        <f>SUM(O32*0.09290304)</f>
        <v>4.4593459200000005</v>
      </c>
      <c r="P33" s="34"/>
    </row>
    <row r="34" spans="1:16" ht="12.75">
      <c r="A34" s="1" t="str">
        <f>master!B19</f>
        <v>5 wall</v>
      </c>
      <c r="C34" s="68" t="s">
        <v>11</v>
      </c>
      <c r="D34" s="66">
        <f>master!E19</f>
        <v>24</v>
      </c>
      <c r="E34" s="66"/>
      <c r="F34" s="66"/>
      <c r="G34" s="66"/>
      <c r="H34" s="66"/>
      <c r="I34" s="66"/>
      <c r="J34" s="66"/>
      <c r="K34" s="66"/>
      <c r="L34" s="66"/>
      <c r="M34" s="66"/>
      <c r="O34" s="66">
        <f>D34</f>
        <v>24</v>
      </c>
      <c r="P34" s="66"/>
    </row>
    <row r="35" spans="1:16" ht="12.75">
      <c r="A35" s="1"/>
      <c r="C35" s="15" t="s">
        <v>12</v>
      </c>
      <c r="D35" s="34">
        <f>SUM(D34*0.09290304)</f>
        <v>2.2296729600000003</v>
      </c>
      <c r="E35" s="34"/>
      <c r="F35" s="34"/>
      <c r="G35" s="34"/>
      <c r="H35" s="34"/>
      <c r="I35" s="34"/>
      <c r="J35" s="34"/>
      <c r="K35" s="34"/>
      <c r="L35" s="34"/>
      <c r="M35" s="34"/>
      <c r="O35" s="34">
        <f>SUM(O34*0.09290304)</f>
        <v>2.2296729600000003</v>
      </c>
      <c r="P35" s="34"/>
    </row>
    <row r="36" spans="1:16" ht="12.75">
      <c r="A36" s="1" t="str">
        <f>master!B21</f>
        <v>6 wall</v>
      </c>
      <c r="C36" s="68" t="s">
        <v>11</v>
      </c>
      <c r="D36" s="66">
        <f>master!E21</f>
        <v>11</v>
      </c>
      <c r="E36" s="66"/>
      <c r="F36" s="66"/>
      <c r="G36" s="66"/>
      <c r="H36" s="66"/>
      <c r="I36" s="66"/>
      <c r="J36" s="66"/>
      <c r="K36" s="66"/>
      <c r="L36" s="66"/>
      <c r="M36" s="66"/>
      <c r="O36" s="66">
        <f>D36</f>
        <v>11</v>
      </c>
      <c r="P36" s="66"/>
    </row>
    <row r="37" spans="1:16" ht="12.75">
      <c r="A37" s="1"/>
      <c r="C37" s="15" t="s">
        <v>12</v>
      </c>
      <c r="D37" s="34">
        <f>SUM(D36*0.09290304)</f>
        <v>1.02193344</v>
      </c>
      <c r="E37" s="34"/>
      <c r="F37" s="34"/>
      <c r="G37" s="34"/>
      <c r="H37" s="34"/>
      <c r="I37" s="34"/>
      <c r="J37" s="34"/>
      <c r="K37" s="34"/>
      <c r="L37" s="34"/>
      <c r="M37" s="34"/>
      <c r="O37" s="34">
        <f>SUM(O36*0.09290304)</f>
        <v>1.02193344</v>
      </c>
      <c r="P37" s="34"/>
    </row>
    <row r="38" spans="1:16" ht="12.75">
      <c r="A38" s="1" t="str">
        <f>master!B23</f>
        <v>galley expansion</v>
      </c>
      <c r="C38" s="68" t="s">
        <v>11</v>
      </c>
      <c r="D38" s="66">
        <f>master!E23</f>
        <v>49</v>
      </c>
      <c r="E38" s="66"/>
      <c r="F38" s="66"/>
      <c r="G38" s="66"/>
      <c r="H38" s="66"/>
      <c r="I38" s="66"/>
      <c r="J38" s="66"/>
      <c r="K38" s="66"/>
      <c r="L38" s="66"/>
      <c r="M38" s="66"/>
      <c r="O38" s="66">
        <f>D38</f>
        <v>49</v>
      </c>
      <c r="P38" s="66"/>
    </row>
    <row r="39" spans="1:16" ht="12.75">
      <c r="A39" s="1"/>
      <c r="C39" s="15" t="s">
        <v>12</v>
      </c>
      <c r="D39" s="34">
        <f>SUM(D38*0.09290304)</f>
        <v>4.55224896</v>
      </c>
      <c r="E39" s="34"/>
      <c r="F39" s="34"/>
      <c r="G39" s="34"/>
      <c r="H39" s="34"/>
      <c r="I39" s="34"/>
      <c r="J39" s="34"/>
      <c r="K39" s="34"/>
      <c r="L39" s="34"/>
      <c r="M39" s="34"/>
      <c r="O39" s="34">
        <f>SUM(O38*0.09290304)</f>
        <v>4.55224896</v>
      </c>
      <c r="P39" s="34"/>
    </row>
    <row r="40" spans="1:16" ht="12.75">
      <c r="A40" s="1" t="str">
        <f>master!B25</f>
        <v>head expansion</v>
      </c>
      <c r="C40" s="68" t="s">
        <v>11</v>
      </c>
      <c r="D40" s="66">
        <f>master!E25</f>
        <v>84</v>
      </c>
      <c r="E40" s="66"/>
      <c r="F40" s="66"/>
      <c r="G40" s="66"/>
      <c r="H40" s="66"/>
      <c r="I40" s="66"/>
      <c r="J40" s="66"/>
      <c r="K40" s="66"/>
      <c r="L40" s="66"/>
      <c r="M40" s="66"/>
      <c r="O40" s="66">
        <f>D40</f>
        <v>84</v>
      </c>
      <c r="P40" s="66"/>
    </row>
    <row r="41" spans="1:16" ht="12.75">
      <c r="A41" s="1"/>
      <c r="C41" s="15" t="s">
        <v>12</v>
      </c>
      <c r="D41" s="34">
        <f>SUM(D40*0.09290304)</f>
        <v>7.803855360000001</v>
      </c>
      <c r="E41" s="34"/>
      <c r="F41" s="34"/>
      <c r="G41" s="34"/>
      <c r="H41" s="34"/>
      <c r="I41" s="34"/>
      <c r="J41" s="34"/>
      <c r="K41" s="34"/>
      <c r="L41" s="34"/>
      <c r="M41" s="34"/>
      <c r="O41" s="34">
        <f>SUM(O40*0.09290304)</f>
        <v>7.803855360000001</v>
      </c>
      <c r="P41" s="34"/>
    </row>
    <row r="42" spans="1:16" ht="12.75">
      <c r="A42" s="1" t="str">
        <f>master!B27</f>
        <v>stitting expansion</v>
      </c>
      <c r="C42" s="68" t="s">
        <v>11</v>
      </c>
      <c r="D42" s="66">
        <f>master!E27</f>
        <v>135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>
        <f>D42</f>
        <v>135</v>
      </c>
      <c r="P42" s="66"/>
    </row>
    <row r="43" spans="1:16" ht="12.75">
      <c r="A43" s="1"/>
      <c r="C43" s="15" t="s">
        <v>12</v>
      </c>
      <c r="D43" s="34">
        <f>SUM(D42*0.09290304)</f>
        <v>12.5419104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>
        <f>SUM(O42*0.09290304)</f>
        <v>12.5419104</v>
      </c>
      <c r="P43" s="34"/>
    </row>
    <row r="44" spans="1:16" ht="12.75">
      <c r="A44" s="1" t="str">
        <f>master!B31</f>
        <v>lounge base</v>
      </c>
      <c r="C44" s="68" t="s">
        <v>11</v>
      </c>
      <c r="D44" s="66">
        <f>master!E31</f>
        <v>99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>
        <f>D44</f>
        <v>99</v>
      </c>
      <c r="P44" s="66"/>
    </row>
    <row r="45" spans="1:16" ht="12.75">
      <c r="A45" s="1"/>
      <c r="C45" s="15" t="s">
        <v>12</v>
      </c>
      <c r="D45" s="34">
        <f>SUM(D44*0.09290304)</f>
        <v>9.197400960000001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>
        <f>SUM(O44*0.09290304)</f>
        <v>9.197400960000001</v>
      </c>
      <c r="P45" s="34"/>
    </row>
    <row r="46" spans="1:16" ht="12.75">
      <c r="A46" s="1" t="str">
        <f>master!B33</f>
        <v>main floor</v>
      </c>
      <c r="C46" s="68" t="s">
        <v>11</v>
      </c>
      <c r="D46" s="66">
        <f>master!E33</f>
        <v>55</v>
      </c>
      <c r="E46" s="66"/>
      <c r="F46" s="66"/>
      <c r="G46" s="66"/>
      <c r="H46" s="66"/>
      <c r="I46" s="66"/>
      <c r="K46" s="66"/>
      <c r="L46" s="66"/>
      <c r="M46" s="66"/>
      <c r="N46" s="66"/>
      <c r="O46" s="66">
        <f>D46</f>
        <v>55</v>
      </c>
      <c r="P46" s="66"/>
    </row>
    <row r="47" spans="1:16" ht="12.75">
      <c r="A47" s="1"/>
      <c r="C47" s="15" t="s">
        <v>12</v>
      </c>
      <c r="D47" s="34">
        <f>SUM(D46*0.09290304)</f>
        <v>5.1096672000000005</v>
      </c>
      <c r="E47" s="34"/>
      <c r="F47" s="34"/>
      <c r="G47" s="34"/>
      <c r="H47" s="34"/>
      <c r="I47" s="34"/>
      <c r="K47" s="34"/>
      <c r="L47" s="34"/>
      <c r="M47" s="34"/>
      <c r="N47" s="34"/>
      <c r="O47" s="34">
        <f>SUM(O46*0.09290304)</f>
        <v>5.1096672000000005</v>
      </c>
      <c r="P47" s="34"/>
    </row>
    <row r="48" spans="1:16" ht="12.75">
      <c r="A48" s="1" t="str">
        <f>master!B37</f>
        <v>top</v>
      </c>
      <c r="C48" s="68" t="s">
        <v>11</v>
      </c>
      <c r="D48" s="66">
        <f>master!E37</f>
        <v>55</v>
      </c>
      <c r="E48" s="66"/>
      <c r="F48" s="66"/>
      <c r="G48" s="66"/>
      <c r="H48" s="66"/>
      <c r="I48" s="66"/>
      <c r="K48" s="66"/>
      <c r="L48" s="66"/>
      <c r="M48" s="66"/>
      <c r="N48" s="66"/>
      <c r="O48" s="66">
        <f>D48</f>
        <v>55</v>
      </c>
      <c r="P48" s="66"/>
    </row>
    <row r="49" spans="1:16" ht="12.75">
      <c r="A49" s="1"/>
      <c r="C49" s="15" t="s">
        <v>12</v>
      </c>
      <c r="D49" s="34">
        <f>SUM(D48*0.09290304)</f>
        <v>5.1096672000000005</v>
      </c>
      <c r="E49" s="34"/>
      <c r="F49" s="34"/>
      <c r="G49" s="34"/>
      <c r="H49" s="34"/>
      <c r="I49" s="34"/>
      <c r="K49" s="34"/>
      <c r="L49" s="34"/>
      <c r="M49" s="34"/>
      <c r="N49" s="34"/>
      <c r="O49" s="34">
        <f>SUM(O48*0.09290304)</f>
        <v>5.1096672000000005</v>
      </c>
      <c r="P49" s="34"/>
    </row>
    <row r="50" spans="1:16" ht="12.75">
      <c r="A50" s="1" t="str">
        <f>master!B39</f>
        <v>6 lounge walls</v>
      </c>
      <c r="C50" s="68" t="s">
        <v>11</v>
      </c>
      <c r="D50" s="66">
        <f>master!E39</f>
        <v>229</v>
      </c>
      <c r="E50" s="66"/>
      <c r="F50" s="66"/>
      <c r="G50" s="66"/>
      <c r="H50" s="66"/>
      <c r="I50" s="66"/>
      <c r="K50" s="66"/>
      <c r="L50" s="66"/>
      <c r="M50" s="66"/>
      <c r="N50" s="66"/>
      <c r="O50" s="66">
        <f>D50</f>
        <v>229</v>
      </c>
      <c r="P50" s="66"/>
    </row>
    <row r="51" spans="1:16" ht="12.75">
      <c r="A51" s="1"/>
      <c r="C51" s="15" t="s">
        <v>12</v>
      </c>
      <c r="D51" s="34">
        <f>SUM(D50*0.09290304)</f>
        <v>21.27479616</v>
      </c>
      <c r="E51" s="34"/>
      <c r="F51" s="34"/>
      <c r="G51" s="34"/>
      <c r="H51" s="34"/>
      <c r="I51" s="34"/>
      <c r="K51" s="34"/>
      <c r="L51" s="34"/>
      <c r="M51" s="34"/>
      <c r="N51" s="34"/>
      <c r="O51" s="34">
        <f>SUM(O50*0.09290304)</f>
        <v>21.27479616</v>
      </c>
      <c r="P51" s="34"/>
    </row>
    <row r="52" spans="1:16" ht="12.75">
      <c r="A52" s="1" t="str">
        <f>master!B41</f>
        <v>bed panel</v>
      </c>
      <c r="C52" s="68" t="s">
        <v>11</v>
      </c>
      <c r="D52" s="66">
        <f>master!E41</f>
        <v>30</v>
      </c>
      <c r="E52" s="66"/>
      <c r="F52" s="66"/>
      <c r="G52" s="66"/>
      <c r="H52" s="66"/>
      <c r="I52" s="66"/>
      <c r="J52" s="66">
        <f>D52</f>
        <v>30</v>
      </c>
      <c r="K52" s="66"/>
      <c r="L52" s="66"/>
      <c r="M52" s="66"/>
      <c r="N52" s="66"/>
      <c r="P52" s="66"/>
    </row>
    <row r="53" spans="1:16" ht="12.75">
      <c r="A53" s="1"/>
      <c r="C53" s="15" t="s">
        <v>12</v>
      </c>
      <c r="D53" s="34">
        <f>SUM(D52*0.09290304)</f>
        <v>2.7870912000000003</v>
      </c>
      <c r="E53" s="34"/>
      <c r="F53" s="34"/>
      <c r="G53" s="34"/>
      <c r="H53" s="34"/>
      <c r="I53" s="34"/>
      <c r="J53" s="34">
        <f>SUM(J52*0.09290304)</f>
        <v>2.7870912000000003</v>
      </c>
      <c r="K53" s="34"/>
      <c r="L53" s="34"/>
      <c r="M53" s="34"/>
      <c r="N53" s="34"/>
      <c r="P53" s="34"/>
    </row>
    <row r="54" spans="1:16" ht="12.75">
      <c r="A54" s="52" t="s">
        <v>14</v>
      </c>
      <c r="B54" s="53"/>
      <c r="C54" s="70" t="s">
        <v>11</v>
      </c>
      <c r="D54" s="67">
        <f>SUM(D26+D28+D30+D32+D34+D36+D38+D40+D42+D44+D46+D48+D50+D52)</f>
        <v>916.1</v>
      </c>
      <c r="E54" s="67"/>
      <c r="F54" s="67"/>
      <c r="G54" s="67"/>
      <c r="H54" s="67"/>
      <c r="I54" s="67">
        <f aca="true" t="shared" si="3" ref="I54:P54">SUM(I26+I28+I30+I32+I34+I36+I38+I40+I42+I44)</f>
        <v>0</v>
      </c>
      <c r="J54" s="67">
        <f>SUM(J52)</f>
        <v>30</v>
      </c>
      <c r="K54" s="67">
        <f t="shared" si="3"/>
        <v>0</v>
      </c>
      <c r="L54" s="67">
        <f t="shared" si="3"/>
        <v>0</v>
      </c>
      <c r="M54" s="67">
        <f t="shared" si="3"/>
        <v>0</v>
      </c>
      <c r="N54" s="67"/>
      <c r="O54" s="67">
        <f>SUM(O26+O28+O30+O32+O34+O36+O38+O40+O42+O44+O46+O48+O50)</f>
        <v>812.4</v>
      </c>
      <c r="P54" s="67">
        <f t="shared" si="3"/>
        <v>0</v>
      </c>
    </row>
    <row r="55" spans="1:16" ht="12.75">
      <c r="A55" s="1"/>
      <c r="C55" s="28" t="s">
        <v>12</v>
      </c>
      <c r="D55" s="36">
        <f>SUM(D54*0.09290304)</f>
        <v>85.10847494400001</v>
      </c>
      <c r="E55" s="36"/>
      <c r="F55" s="36"/>
      <c r="G55" s="36"/>
      <c r="H55" s="36"/>
      <c r="I55" s="36">
        <f aca="true" t="shared" si="4" ref="I55:P55">SUM(I54*0.09290304)</f>
        <v>0</v>
      </c>
      <c r="J55" s="36">
        <f t="shared" si="4"/>
        <v>2.7870912000000003</v>
      </c>
      <c r="K55" s="36">
        <f t="shared" si="4"/>
        <v>0</v>
      </c>
      <c r="L55" s="36">
        <f t="shared" si="4"/>
        <v>0</v>
      </c>
      <c r="M55" s="36">
        <f t="shared" si="4"/>
        <v>0</v>
      </c>
      <c r="N55" s="36"/>
      <c r="O55" s="36">
        <f>SUM(O54*0.09290304)</f>
        <v>75.474429696</v>
      </c>
      <c r="P55" s="36">
        <f t="shared" si="4"/>
        <v>0</v>
      </c>
    </row>
    <row r="56" spans="1:16" ht="12.75">
      <c r="A56" s="1"/>
      <c r="C56" s="68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ht="12.75">
      <c r="A57" s="1"/>
      <c r="C57" s="15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12.75">
      <c r="A58" s="1"/>
      <c r="C58" s="62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2.75">
      <c r="A59" s="1"/>
      <c r="C59" s="20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1:16" ht="13.5" thickBot="1">
      <c r="A60" s="19"/>
      <c r="B60" s="18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ht="13.5" thickBot="1">
      <c r="A61" s="22"/>
      <c r="B61" s="23"/>
      <c r="C61" s="23"/>
      <c r="D61" s="38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ht="12.75">
      <c r="A62" s="1"/>
      <c r="C62" s="71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6" ht="12.75">
      <c r="A63" s="1"/>
      <c r="C63" s="29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ht="13.5" thickBot="1">
      <c r="A64" s="24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ht="13.5" thickBot="1">
      <c r="A65" s="22"/>
      <c r="B65" s="21"/>
      <c r="C65" s="21"/>
      <c r="D65" s="41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ht="12.75">
      <c r="A66" s="1"/>
      <c r="C66" s="68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</row>
    <row r="67" spans="1:16" ht="12.75">
      <c r="A67" s="1"/>
      <c r="C67" s="15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ht="12.75">
      <c r="A68" s="1"/>
      <c r="C68" s="68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</row>
    <row r="69" spans="1:16" ht="12.75">
      <c r="A69" s="1"/>
      <c r="C69" s="15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ht="12.75">
      <c r="A70" s="2"/>
      <c r="C70" s="68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</row>
    <row r="71" spans="1:16" ht="12.75">
      <c r="A71" s="2"/>
      <c r="C71" s="15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1:16" ht="12.75">
      <c r="A72" s="1"/>
      <c r="C72" s="68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16" ht="12.75">
      <c r="A73" s="1"/>
      <c r="C73" s="15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16" ht="12.75">
      <c r="A74" s="1"/>
      <c r="C74" s="68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</row>
    <row r="75" spans="1:16" ht="12.75">
      <c r="A75" s="1"/>
      <c r="C75" s="15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1:16" ht="12.75">
      <c r="A76" s="1"/>
      <c r="C76" s="68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9"/>
    </row>
    <row r="77" spans="1:16" ht="12.75">
      <c r="A77" s="1"/>
      <c r="C77" s="15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40"/>
    </row>
    <row r="78" spans="1:16" ht="12.75">
      <c r="A78" s="1"/>
      <c r="C78" s="68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</row>
    <row r="79" spans="1:16" ht="12.75">
      <c r="A79" s="1"/>
      <c r="C79" s="15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1:16" ht="12.75">
      <c r="A80" s="52"/>
      <c r="B80" s="53"/>
      <c r="C80" s="70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1:16" ht="12.75">
      <c r="A81" s="1"/>
      <c r="C81" s="28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1:16" ht="13.5" thickBot="1">
      <c r="A82" s="19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1:16" ht="13.5" thickBot="1">
      <c r="A83" s="25"/>
      <c r="B83" s="26"/>
      <c r="C83" s="26"/>
      <c r="D83" s="42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2.75">
      <c r="A84" s="2"/>
      <c r="C84" s="68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</row>
    <row r="85" spans="1:16" ht="12.75">
      <c r="A85" s="2"/>
      <c r="C85" s="15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1:16" ht="12.75">
      <c r="A86" s="2"/>
      <c r="C86" s="68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</row>
    <row r="87" spans="1:16" ht="12.75">
      <c r="A87" s="2"/>
      <c r="C87" s="15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1:16" ht="12.75">
      <c r="A88" s="2"/>
      <c r="C88" s="68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</row>
    <row r="89" spans="1:16" ht="12.75">
      <c r="A89" s="2"/>
      <c r="C89" s="15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1:16" ht="12.75">
      <c r="A90" s="52"/>
      <c r="B90" s="53"/>
      <c r="C90" s="70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1:16" ht="12.75">
      <c r="A91" s="1"/>
      <c r="C91" s="28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ht="13.5" thickBot="1">
      <c r="A92" s="27"/>
      <c r="B92" s="6"/>
      <c r="C92" s="6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 ht="13.5" thickBot="1">
      <c r="A93" s="25"/>
      <c r="B93" s="26"/>
      <c r="C93" s="26"/>
      <c r="D93" s="42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2.75">
      <c r="A94" s="2"/>
      <c r="C94" s="68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</row>
    <row r="95" spans="1:16" ht="12.75">
      <c r="A95" s="2"/>
      <c r="C95" s="15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1:16" ht="12.75">
      <c r="A96" s="2"/>
      <c r="C96" s="68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</row>
    <row r="97" spans="1:16" ht="12.75">
      <c r="A97" s="2"/>
      <c r="C97" s="15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1:16" ht="12.75">
      <c r="A98" s="2"/>
      <c r="C98" s="15"/>
      <c r="D98" s="66"/>
      <c r="E98" s="33"/>
      <c r="F98" s="66"/>
      <c r="G98" s="33"/>
      <c r="H98" s="33"/>
      <c r="I98" s="33"/>
      <c r="J98" s="33"/>
      <c r="K98" s="33"/>
      <c r="L98" s="33"/>
      <c r="M98" s="33"/>
      <c r="N98" s="33"/>
      <c r="O98" s="66"/>
      <c r="P98" s="66"/>
    </row>
    <row r="99" spans="1:16" ht="12.75">
      <c r="A99" s="2"/>
      <c r="C99" s="15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1:16" ht="12.75">
      <c r="A100" s="2"/>
      <c r="C100" s="68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</row>
    <row r="101" spans="1:16" ht="12.75">
      <c r="A101" s="2"/>
      <c r="C101" s="15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1:16" ht="12.75">
      <c r="A102" s="1"/>
      <c r="C102" s="68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</row>
    <row r="103" spans="1:16" ht="12.75">
      <c r="A103" s="2"/>
      <c r="C103" s="15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1:16" ht="12.75">
      <c r="A104" s="2"/>
      <c r="C104" s="68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</row>
    <row r="105" spans="1:16" ht="12.75">
      <c r="A105" s="1"/>
      <c r="C105" s="15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1:16" ht="12.75">
      <c r="A106" s="52"/>
      <c r="B106" s="53"/>
      <c r="C106" s="70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1:16" ht="12.75">
      <c r="A107" s="1"/>
      <c r="C107" s="28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1:16" ht="12.75">
      <c r="A108" s="1"/>
      <c r="C108" s="29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1:16" ht="12.75">
      <c r="A109" s="1"/>
      <c r="C109" s="29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</row>
    <row r="110" spans="1:16" ht="13.5" thickBot="1">
      <c r="A110" s="27"/>
      <c r="B110" s="6"/>
      <c r="C110" s="6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1:16" ht="13.5" thickBot="1">
      <c r="A111" s="25"/>
      <c r="B111" s="26"/>
      <c r="C111" s="26"/>
      <c r="D111" s="42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ht="12.75">
      <c r="A112" s="2"/>
      <c r="C112" s="68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</row>
    <row r="113" spans="1:16" ht="12.75">
      <c r="A113" s="2"/>
      <c r="C113" s="15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1:16" ht="12.75">
      <c r="A114" s="2"/>
      <c r="C114" s="68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</row>
    <row r="115" spans="1:16" ht="12.75">
      <c r="A115" s="2"/>
      <c r="C115" s="15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1:16" ht="12.75">
      <c r="A116" s="2"/>
      <c r="C116" s="15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1:16" ht="12.75">
      <c r="A117" s="2"/>
      <c r="C117" s="15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1:16" ht="12.75">
      <c r="A118" s="2"/>
      <c r="C118" s="68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</row>
    <row r="119" spans="1:16" ht="12.75">
      <c r="A119" s="2"/>
      <c r="C119" s="15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1:16" ht="12.75">
      <c r="A120" s="2"/>
      <c r="C120" s="68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</row>
    <row r="121" spans="1:16" ht="12.75">
      <c r="A121" s="2"/>
      <c r="C121" s="15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1:16" ht="12.75">
      <c r="A122" s="2"/>
      <c r="C122" s="68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</row>
    <row r="123" spans="1:16" ht="12.75">
      <c r="A123" s="1"/>
      <c r="C123" s="15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1:16" ht="12.75">
      <c r="A124" s="52"/>
      <c r="B124" s="53"/>
      <c r="C124" s="70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1:16" ht="12.75">
      <c r="A125" s="1"/>
      <c r="C125" s="28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</row>
    <row r="126" spans="1:16" ht="13.5" thickBot="1">
      <c r="A126" s="19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16" ht="13.5" thickBot="1">
      <c r="A127" s="25"/>
      <c r="B127" s="26"/>
      <c r="C127" s="26"/>
      <c r="D127" s="42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ht="12.75">
      <c r="A128" s="2"/>
      <c r="C128" s="68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</row>
    <row r="129" spans="1:16" ht="12.75">
      <c r="A129" s="2"/>
      <c r="C129" s="15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1:16" ht="13.5" thickBot="1">
      <c r="A130" s="24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</row>
    <row r="131" spans="1:16" ht="13.5" thickBot="1">
      <c r="A131" s="22"/>
      <c r="B131" s="21"/>
      <c r="C131" s="21"/>
      <c r="D131" s="41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ht="12.75">
      <c r="A132" s="1"/>
      <c r="C132" s="15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1:16" ht="12.75">
      <c r="A133" s="1"/>
      <c r="C133" s="15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1:16" ht="12.75">
      <c r="A134" s="1"/>
      <c r="C134" s="15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16" ht="12.75">
      <c r="A135" s="1"/>
      <c r="C135" s="15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1:16" ht="12.75">
      <c r="A136" s="1"/>
      <c r="C136" s="15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</row>
    <row r="137" spans="1:16" ht="12.75">
      <c r="A137" s="2"/>
      <c r="C137" s="15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1:16" ht="12.75">
      <c r="A138" s="1"/>
      <c r="C138" s="15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</row>
    <row r="139" spans="1:16" ht="12.75">
      <c r="A139" s="1"/>
      <c r="C139" s="15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1:16" ht="12.75">
      <c r="A140" s="52"/>
      <c r="B140" s="53"/>
      <c r="C140" s="28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</row>
    <row r="141" spans="1:16" ht="12.75">
      <c r="A141" s="1"/>
      <c r="C141" s="28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1:16" ht="13.5" thickBot="1">
      <c r="A142" s="2"/>
      <c r="C142" s="15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  <row r="143" spans="1:16" ht="13.5" thickBot="1">
      <c r="A143" s="30" t="s">
        <v>15</v>
      </c>
      <c r="B143" s="31"/>
      <c r="C143" s="31"/>
      <c r="D143" s="43"/>
      <c r="E143" s="17">
        <f>$A$4</f>
        <v>0</v>
      </c>
      <c r="F143" s="17">
        <f>$A$5</f>
        <v>0</v>
      </c>
      <c r="G143" s="17">
        <f>$A$6</f>
        <v>0</v>
      </c>
      <c r="H143" s="17">
        <f>$A$7</f>
        <v>0</v>
      </c>
      <c r="I143" s="17">
        <f>$A$8</f>
        <v>0</v>
      </c>
      <c r="J143" s="17" t="str">
        <f>$A$9</f>
        <v>CORE-F</v>
      </c>
      <c r="K143" s="17">
        <f>$A$10</f>
        <v>0</v>
      </c>
      <c r="L143" s="17">
        <f>$A$11</f>
        <v>0</v>
      </c>
      <c r="M143" s="17">
        <f>$A$12</f>
        <v>0</v>
      </c>
      <c r="N143" s="17">
        <f>$A$13</f>
        <v>0</v>
      </c>
      <c r="O143" s="17" t="str">
        <f>+$A$14</f>
        <v>CORE-K</v>
      </c>
      <c r="P143" s="17">
        <f>$A$15</f>
        <v>0</v>
      </c>
    </row>
    <row r="144" spans="1:16" ht="12.75">
      <c r="A144" s="6"/>
      <c r="B144" s="6"/>
      <c r="C144" s="6"/>
      <c r="D144" s="39"/>
      <c r="E144" s="72" t="s">
        <v>11</v>
      </c>
      <c r="F144" s="73" t="s">
        <v>11</v>
      </c>
      <c r="G144" s="73" t="s">
        <v>11</v>
      </c>
      <c r="H144" s="73" t="s">
        <v>11</v>
      </c>
      <c r="I144" s="73" t="s">
        <v>11</v>
      </c>
      <c r="J144" s="73" t="s">
        <v>11</v>
      </c>
      <c r="K144" s="73" t="s">
        <v>11</v>
      </c>
      <c r="L144" s="73" t="s">
        <v>11</v>
      </c>
      <c r="M144" s="73" t="s">
        <v>11</v>
      </c>
      <c r="N144" s="73" t="s">
        <v>11</v>
      </c>
      <c r="O144" s="73" t="s">
        <v>11</v>
      </c>
      <c r="P144" s="73"/>
    </row>
    <row r="145" spans="1:16" ht="12.75">
      <c r="A145" s="32" t="s">
        <v>9</v>
      </c>
      <c r="B145" s="6"/>
      <c r="C145" s="6"/>
      <c r="D145" s="39"/>
      <c r="E145" s="69">
        <f>SUM(E21+E54+E62+E80+E90+E124+E128)</f>
        <v>0</v>
      </c>
      <c r="F145" s="69">
        <f>F21+F56+F62+F80+F90+F106+F124+F128</f>
        <v>0</v>
      </c>
      <c r="G145" s="69">
        <f>G21+G56+G62+G80+G90+G106+G124+G128</f>
        <v>0</v>
      </c>
      <c r="H145" s="69">
        <f>H21+H56+H62+H80+H90+H124+H128</f>
        <v>0</v>
      </c>
      <c r="I145" s="69">
        <f>I21+I56+I62+I80+I90+I124+I128</f>
        <v>0</v>
      </c>
      <c r="J145" s="69">
        <f>J54</f>
        <v>30</v>
      </c>
      <c r="K145" s="69">
        <f>K21+K56+K62+K80+K90+K124+K128</f>
        <v>0</v>
      </c>
      <c r="L145" s="69">
        <f>L21+L56+L62+L80+L90+L124+L128</f>
        <v>0</v>
      </c>
      <c r="M145" s="69">
        <f>M21+M56+M62+M80+M90+M124+M128</f>
        <v>0</v>
      </c>
      <c r="N145" s="69">
        <f>N21+N56+N62+N80+N90+N106+N124+N128</f>
        <v>0</v>
      </c>
      <c r="O145" s="69">
        <f>O54</f>
        <v>812.4</v>
      </c>
      <c r="P145" s="69">
        <f>P21+P56+P62+P80+P90+P106+P124+P128+P140</f>
        <v>0</v>
      </c>
    </row>
    <row r="146" spans="1:16" ht="12.75">
      <c r="A146" s="32"/>
      <c r="B146" s="6"/>
      <c r="C146" s="6"/>
      <c r="D146" s="39"/>
      <c r="E146" s="44" t="s">
        <v>12</v>
      </c>
      <c r="F146" s="45" t="s">
        <v>12</v>
      </c>
      <c r="G146" s="45" t="s">
        <v>12</v>
      </c>
      <c r="H146" s="45" t="s">
        <v>12</v>
      </c>
      <c r="I146" s="45" t="s">
        <v>12</v>
      </c>
      <c r="J146" s="45" t="s">
        <v>12</v>
      </c>
      <c r="K146" s="45" t="s">
        <v>12</v>
      </c>
      <c r="L146" s="45" t="s">
        <v>12</v>
      </c>
      <c r="M146" s="45" t="s">
        <v>12</v>
      </c>
      <c r="N146" s="45" t="s">
        <v>12</v>
      </c>
      <c r="O146" s="45" t="s">
        <v>12</v>
      </c>
      <c r="P146" s="45" t="s">
        <v>12</v>
      </c>
    </row>
    <row r="147" spans="4:16" ht="12.75">
      <c r="D147" s="33"/>
      <c r="E147" s="34">
        <f>SUM(E145*0.09290304)</f>
        <v>0</v>
      </c>
      <c r="F147" s="34">
        <f>SUM(F145*0.09290304)</f>
        <v>0</v>
      </c>
      <c r="G147" s="34">
        <f>SUM(G145*0.09290304)</f>
        <v>0</v>
      </c>
      <c r="H147" s="34">
        <f>SUM(H145*0.09290304)</f>
        <v>0</v>
      </c>
      <c r="I147" s="34">
        <f aca="true" t="shared" si="5" ref="I147:P147">SUM(I145*0.09290304)</f>
        <v>0</v>
      </c>
      <c r="J147" s="34">
        <f t="shared" si="5"/>
        <v>2.7870912000000003</v>
      </c>
      <c r="K147" s="34">
        <f t="shared" si="5"/>
        <v>0</v>
      </c>
      <c r="L147" s="34">
        <f t="shared" si="5"/>
        <v>0</v>
      </c>
      <c r="M147" s="34">
        <f t="shared" si="5"/>
        <v>0</v>
      </c>
      <c r="N147" s="34">
        <f t="shared" si="5"/>
        <v>0</v>
      </c>
      <c r="O147" s="34">
        <f t="shared" si="5"/>
        <v>75.474429696</v>
      </c>
      <c r="P147" s="34">
        <f t="shared" si="5"/>
        <v>0</v>
      </c>
    </row>
    <row r="148" spans="1:16" ht="12.75">
      <c r="A148" s="6"/>
      <c r="B148" s="6"/>
      <c r="C148" s="6"/>
      <c r="D148" s="39"/>
      <c r="E148" s="39"/>
      <c r="F148" s="39"/>
      <c r="G148" s="39"/>
      <c r="H148" s="39"/>
      <c r="I148" s="39"/>
      <c r="J148" s="33"/>
      <c r="K148" s="33"/>
      <c r="L148" s="33"/>
      <c r="M148" s="33"/>
      <c r="N148" s="33"/>
      <c r="O148" s="33"/>
      <c r="P148" s="33"/>
    </row>
    <row r="149" spans="1:16" ht="12.75">
      <c r="A149" s="6"/>
      <c r="B149" s="6"/>
      <c r="C149" s="6"/>
      <c r="D149" s="39"/>
      <c r="E149" s="39"/>
      <c r="F149" s="39"/>
      <c r="G149" s="39"/>
      <c r="H149" s="39"/>
      <c r="I149" s="39"/>
      <c r="J149" s="60"/>
      <c r="K149" s="60"/>
      <c r="L149" s="60"/>
      <c r="M149" s="60"/>
      <c r="N149" s="60"/>
      <c r="O149" s="60"/>
      <c r="P149" s="60"/>
    </row>
    <row r="150" spans="1:16" ht="12.75">
      <c r="A150" s="81" t="s">
        <v>25</v>
      </c>
      <c r="B150" s="82"/>
      <c r="C150" s="82" t="s">
        <v>68</v>
      </c>
      <c r="D150" s="83" t="s">
        <v>27</v>
      </c>
      <c r="E150" s="83" t="s">
        <v>28</v>
      </c>
      <c r="F150" s="84" t="s">
        <v>29</v>
      </c>
      <c r="G150" s="85" t="s">
        <v>30</v>
      </c>
      <c r="H150" s="83" t="s">
        <v>31</v>
      </c>
      <c r="I150" s="83" t="s">
        <v>69</v>
      </c>
      <c r="J150" s="80"/>
      <c r="K150" s="80"/>
      <c r="L150" s="80"/>
      <c r="M150" s="80"/>
      <c r="N150" s="80"/>
      <c r="O150" s="80"/>
      <c r="P150" s="80"/>
    </row>
    <row r="151" spans="1:16" ht="12.75">
      <c r="A151" s="5">
        <f>A4</f>
        <v>0</v>
      </c>
      <c r="B151" s="6"/>
      <c r="C151" s="61">
        <f>C4</f>
        <v>0</v>
      </c>
      <c r="D151" s="69">
        <f>E145*3</f>
        <v>0</v>
      </c>
      <c r="E151" s="34">
        <f>SUM(D151*0.09290304)</f>
        <v>0</v>
      </c>
      <c r="F151" s="39">
        <f>(D151/9)*22.7</f>
        <v>0</v>
      </c>
      <c r="G151" s="64">
        <f>SUM(F151*34)</f>
        <v>0</v>
      </c>
      <c r="H151" s="39">
        <f>F151/16</f>
        <v>0</v>
      </c>
      <c r="I151" s="39">
        <f aca="true" t="shared" si="6" ref="I151:I162">G151/1000</f>
        <v>0</v>
      </c>
      <c r="J151" s="60"/>
      <c r="K151" s="60"/>
      <c r="L151" s="60"/>
      <c r="M151" s="60"/>
      <c r="N151" s="60"/>
      <c r="O151" s="60"/>
      <c r="P151" s="60"/>
    </row>
    <row r="152" spans="1:16" ht="12.75">
      <c r="A152" s="5">
        <f aca="true" t="shared" si="7" ref="A152:A162">A5</f>
        <v>0</v>
      </c>
      <c r="B152" s="6"/>
      <c r="C152" s="61">
        <f aca="true" t="shared" si="8" ref="C152:C162">C5</f>
        <v>0</v>
      </c>
      <c r="D152" s="69">
        <f>F145*2</f>
        <v>0</v>
      </c>
      <c r="E152" s="34">
        <f>SUM(D152*0.09290304)</f>
        <v>0</v>
      </c>
      <c r="F152" s="39">
        <f>(D152/9)*33.9</f>
        <v>0</v>
      </c>
      <c r="G152" s="63">
        <f>SUM(F152*34)</f>
        <v>0</v>
      </c>
      <c r="H152" s="39">
        <f>F152/16</f>
        <v>0</v>
      </c>
      <c r="I152" s="39">
        <f t="shared" si="6"/>
        <v>0</v>
      </c>
      <c r="J152" s="60"/>
      <c r="K152" s="60"/>
      <c r="L152" s="60"/>
      <c r="M152" s="60"/>
      <c r="N152" s="60"/>
      <c r="O152" s="60"/>
      <c r="P152" s="60"/>
    </row>
    <row r="153" spans="1:16" ht="12.75">
      <c r="A153" s="5">
        <f t="shared" si="7"/>
        <v>0</v>
      </c>
      <c r="B153" s="6"/>
      <c r="C153" s="61">
        <f t="shared" si="8"/>
        <v>0</v>
      </c>
      <c r="D153" s="69">
        <f>G145*3</f>
        <v>0</v>
      </c>
      <c r="E153" s="34">
        <f>SUM(D153*0.09290304)</f>
        <v>0</v>
      </c>
      <c r="F153" s="39">
        <f>(D153/9)*22.7</f>
        <v>0</v>
      </c>
      <c r="G153" s="63">
        <f>SUM(F153*34)</f>
        <v>0</v>
      </c>
      <c r="H153" s="39">
        <f>F153/16</f>
        <v>0</v>
      </c>
      <c r="I153" s="39">
        <f t="shared" si="6"/>
        <v>0</v>
      </c>
      <c r="J153" s="60"/>
      <c r="K153" s="60"/>
      <c r="L153" s="60"/>
      <c r="M153" s="60"/>
      <c r="N153" s="60"/>
      <c r="O153" s="60"/>
      <c r="P153" s="60"/>
    </row>
    <row r="154" spans="1:16" ht="12.75">
      <c r="A154" s="5">
        <f t="shared" si="7"/>
        <v>0</v>
      </c>
      <c r="B154" s="6"/>
      <c r="C154" s="61">
        <f t="shared" si="8"/>
        <v>0</v>
      </c>
      <c r="D154" s="69">
        <f>H145</f>
        <v>0</v>
      </c>
      <c r="E154" s="34">
        <f>SUM(D154*0.09290304)</f>
        <v>0</v>
      </c>
      <c r="F154" s="39">
        <f>(D154/9)*33.9</f>
        <v>0</v>
      </c>
      <c r="G154" s="63">
        <f>SUM(F154*34)</f>
        <v>0</v>
      </c>
      <c r="H154" s="39">
        <f>F154/16</f>
        <v>0</v>
      </c>
      <c r="I154" s="39">
        <f t="shared" si="6"/>
        <v>0</v>
      </c>
      <c r="J154" s="60"/>
      <c r="K154" s="60"/>
      <c r="L154" s="60"/>
      <c r="M154" s="60"/>
      <c r="N154" s="60"/>
      <c r="O154" s="60"/>
      <c r="P154" s="60"/>
    </row>
    <row r="155" spans="1:16" ht="12.75">
      <c r="A155" s="5">
        <f t="shared" si="7"/>
        <v>0</v>
      </c>
      <c r="B155" s="6"/>
      <c r="C155" s="61">
        <f t="shared" si="8"/>
        <v>0</v>
      </c>
      <c r="D155" s="69">
        <f>I145</f>
        <v>0</v>
      </c>
      <c r="E155" s="34">
        <f aca="true" t="shared" si="9" ref="E155:E162">SUM(D155*0.09290304)</f>
        <v>0</v>
      </c>
      <c r="F155" s="39">
        <f aca="true" t="shared" si="10" ref="F155:F160">(D155/9)*33.9</f>
        <v>0</v>
      </c>
      <c r="G155" s="63">
        <f aca="true" t="shared" si="11" ref="G155:G162">SUM(F155*34)</f>
        <v>0</v>
      </c>
      <c r="H155" s="39">
        <f aca="true" t="shared" si="12" ref="H155:H160">F155/16</f>
        <v>0</v>
      </c>
      <c r="I155" s="39">
        <f t="shared" si="6"/>
        <v>0</v>
      </c>
      <c r="J155" s="60"/>
      <c r="K155" s="60"/>
      <c r="L155" s="60"/>
      <c r="M155" s="60"/>
      <c r="N155" s="60"/>
      <c r="O155" s="60"/>
      <c r="P155" s="60"/>
    </row>
    <row r="156" spans="1:16" ht="12.75">
      <c r="A156" s="5" t="str">
        <f t="shared" si="7"/>
        <v>CORE-F</v>
      </c>
      <c r="B156" s="6"/>
      <c r="C156" s="61">
        <f t="shared" si="8"/>
        <v>25</v>
      </c>
      <c r="D156" s="69">
        <f>J145</f>
        <v>30</v>
      </c>
      <c r="E156" s="34">
        <f t="shared" si="9"/>
        <v>2.7870912000000003</v>
      </c>
      <c r="F156" s="39">
        <f t="shared" si="10"/>
        <v>113</v>
      </c>
      <c r="G156" s="63">
        <f t="shared" si="11"/>
        <v>3842</v>
      </c>
      <c r="H156" s="39">
        <f t="shared" si="12"/>
        <v>7.0625</v>
      </c>
      <c r="I156" s="39">
        <f t="shared" si="6"/>
        <v>3.842</v>
      </c>
      <c r="J156" s="60"/>
      <c r="K156" s="60"/>
      <c r="L156" s="60"/>
      <c r="M156" s="60"/>
      <c r="N156" s="60"/>
      <c r="O156" s="60"/>
      <c r="P156" s="60"/>
    </row>
    <row r="157" spans="1:16" ht="12.75">
      <c r="A157" s="5">
        <f t="shared" si="7"/>
        <v>0</v>
      </c>
      <c r="B157" s="6"/>
      <c r="C157" s="61">
        <f t="shared" si="8"/>
        <v>0</v>
      </c>
      <c r="D157" s="69">
        <f>K145</f>
        <v>0</v>
      </c>
      <c r="E157" s="34">
        <f t="shared" si="9"/>
        <v>0</v>
      </c>
      <c r="F157" s="39">
        <f t="shared" si="10"/>
        <v>0</v>
      </c>
      <c r="G157" s="63">
        <f t="shared" si="11"/>
        <v>0</v>
      </c>
      <c r="H157" s="39">
        <f t="shared" si="12"/>
        <v>0</v>
      </c>
      <c r="I157" s="39">
        <f t="shared" si="6"/>
        <v>0</v>
      </c>
      <c r="J157" s="60"/>
      <c r="K157" s="60"/>
      <c r="L157" s="60"/>
      <c r="M157" s="60"/>
      <c r="N157" s="60"/>
      <c r="O157" s="60"/>
      <c r="P157" s="60"/>
    </row>
    <row r="158" spans="1:16" ht="12.75">
      <c r="A158" s="5">
        <f t="shared" si="7"/>
        <v>0</v>
      </c>
      <c r="B158" s="6"/>
      <c r="C158" s="61">
        <f t="shared" si="8"/>
        <v>0</v>
      </c>
      <c r="D158" s="69">
        <f>L145</f>
        <v>0</v>
      </c>
      <c r="E158" s="34">
        <f t="shared" si="9"/>
        <v>0</v>
      </c>
      <c r="F158" s="39">
        <f t="shared" si="10"/>
        <v>0</v>
      </c>
      <c r="G158" s="63">
        <f t="shared" si="11"/>
        <v>0</v>
      </c>
      <c r="H158" s="39">
        <f t="shared" si="12"/>
        <v>0</v>
      </c>
      <c r="I158" s="39">
        <f t="shared" si="6"/>
        <v>0</v>
      </c>
      <c r="J158" s="60"/>
      <c r="K158" s="60"/>
      <c r="L158" s="60"/>
      <c r="M158" s="60"/>
      <c r="N158" s="60"/>
      <c r="O158" s="60"/>
      <c r="P158" s="60"/>
    </row>
    <row r="159" spans="1:16" ht="12.75">
      <c r="A159" s="5">
        <f t="shared" si="7"/>
        <v>0</v>
      </c>
      <c r="B159" s="6"/>
      <c r="C159" s="61">
        <f t="shared" si="8"/>
        <v>0</v>
      </c>
      <c r="D159" s="69">
        <f>M145</f>
        <v>0</v>
      </c>
      <c r="E159" s="34">
        <f t="shared" si="9"/>
        <v>0</v>
      </c>
      <c r="F159" s="39">
        <f t="shared" si="10"/>
        <v>0</v>
      </c>
      <c r="G159" s="63">
        <f t="shared" si="11"/>
        <v>0</v>
      </c>
      <c r="H159" s="39">
        <f t="shared" si="12"/>
        <v>0</v>
      </c>
      <c r="I159" s="39">
        <f t="shared" si="6"/>
        <v>0</v>
      </c>
      <c r="J159" s="60"/>
      <c r="K159" s="60"/>
      <c r="L159" s="60"/>
      <c r="M159" s="60"/>
      <c r="N159" s="60"/>
      <c r="O159" s="60"/>
      <c r="P159" s="60"/>
    </row>
    <row r="160" spans="1:16" ht="12.75">
      <c r="A160" s="5">
        <f t="shared" si="7"/>
        <v>0</v>
      </c>
      <c r="B160" s="6"/>
      <c r="C160" s="61">
        <f t="shared" si="8"/>
        <v>0</v>
      </c>
      <c r="D160" s="69">
        <f>N145</f>
        <v>0</v>
      </c>
      <c r="E160" s="34">
        <f t="shared" si="9"/>
        <v>0</v>
      </c>
      <c r="F160" s="39">
        <f t="shared" si="10"/>
        <v>0</v>
      </c>
      <c r="G160" s="63">
        <f t="shared" si="11"/>
        <v>0</v>
      </c>
      <c r="H160" s="39">
        <f t="shared" si="12"/>
        <v>0</v>
      </c>
      <c r="I160" s="39">
        <f t="shared" si="6"/>
        <v>0</v>
      </c>
      <c r="J160" s="60"/>
      <c r="K160" s="60"/>
      <c r="L160" s="60"/>
      <c r="M160" s="60"/>
      <c r="N160" s="60"/>
      <c r="O160" s="60"/>
      <c r="P160" s="60"/>
    </row>
    <row r="161" spans="1:16" ht="12.75">
      <c r="A161" s="5" t="str">
        <f t="shared" si="7"/>
        <v>CORE-K</v>
      </c>
      <c r="B161" s="6"/>
      <c r="C161" s="61">
        <f t="shared" si="8"/>
        <v>50</v>
      </c>
      <c r="D161" s="69">
        <f>O145</f>
        <v>812.4</v>
      </c>
      <c r="E161" s="34">
        <f t="shared" si="9"/>
        <v>75.474429696</v>
      </c>
      <c r="F161" s="39">
        <f>(D161/9)*33.9</f>
        <v>3060.04</v>
      </c>
      <c r="G161" s="63">
        <f t="shared" si="11"/>
        <v>104041.36</v>
      </c>
      <c r="H161" s="39">
        <f>F161/16</f>
        <v>191.2525</v>
      </c>
      <c r="I161" s="39">
        <f t="shared" si="6"/>
        <v>104.04136</v>
      </c>
      <c r="J161" s="60"/>
      <c r="K161" s="60"/>
      <c r="L161" s="60"/>
      <c r="M161" s="60"/>
      <c r="N161" s="60"/>
      <c r="O161" s="60"/>
      <c r="P161" s="60"/>
    </row>
    <row r="162" spans="1:16" ht="12.75">
      <c r="A162" s="5">
        <f t="shared" si="7"/>
        <v>0</v>
      </c>
      <c r="B162" s="6"/>
      <c r="C162" s="61">
        <f t="shared" si="8"/>
        <v>0</v>
      </c>
      <c r="D162" s="69">
        <f>P145</f>
        <v>0</v>
      </c>
      <c r="E162" s="34">
        <f t="shared" si="9"/>
        <v>0</v>
      </c>
      <c r="F162" s="39">
        <f>(D162/9)*33.9</f>
        <v>0</v>
      </c>
      <c r="G162" s="63">
        <f t="shared" si="11"/>
        <v>0</v>
      </c>
      <c r="H162" s="39">
        <f>F162/16</f>
        <v>0</v>
      </c>
      <c r="I162" s="39">
        <f t="shared" si="6"/>
        <v>0</v>
      </c>
      <c r="J162" s="60"/>
      <c r="K162" s="60"/>
      <c r="L162" s="60"/>
      <c r="M162" s="60"/>
      <c r="N162" s="60"/>
      <c r="O162" s="60"/>
      <c r="P162" s="60"/>
    </row>
    <row r="163" spans="1:16" ht="12.75">
      <c r="A163" s="5"/>
      <c r="B163" s="6"/>
      <c r="C163" s="6"/>
      <c r="D163" s="69"/>
      <c r="E163" s="40"/>
      <c r="F163" s="39"/>
      <c r="G163" s="63"/>
      <c r="H163" s="39"/>
      <c r="I163" s="39"/>
      <c r="J163" s="60"/>
      <c r="K163" s="60"/>
      <c r="L163" s="60"/>
      <c r="M163" s="60"/>
      <c r="N163" s="60"/>
      <c r="O163" s="60"/>
      <c r="P163" s="60"/>
    </row>
    <row r="164" spans="1:16" ht="12.75">
      <c r="A164" s="9" t="s">
        <v>99</v>
      </c>
      <c r="B164" s="10"/>
      <c r="C164" s="10"/>
      <c r="D164" s="74">
        <f>SUM(D161/8)</f>
        <v>101.55</v>
      </c>
      <c r="E164" s="50">
        <f>SUM(E151:E163)</f>
        <v>78.26152089600001</v>
      </c>
      <c r="F164" s="46">
        <f>SUM(F151:F163)</f>
        <v>3173.04</v>
      </c>
      <c r="G164" s="65">
        <f>SUM(G151:G163)</f>
        <v>107883.36</v>
      </c>
      <c r="H164" s="46">
        <f>SUM(H151:H162)</f>
        <v>198.315</v>
      </c>
      <c r="I164" s="46">
        <f>SUM(I151:I163)</f>
        <v>107.88336</v>
      </c>
      <c r="J164" s="60"/>
      <c r="K164" s="60"/>
      <c r="L164" s="60"/>
      <c r="M164" s="60"/>
      <c r="N164" s="60"/>
      <c r="O164" s="60"/>
      <c r="P164" s="60"/>
    </row>
    <row r="165" spans="1:16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ht="12.75">
      <c r="E166" s="37"/>
    </row>
    <row r="167" ht="12.75">
      <c r="E167" s="37"/>
    </row>
    <row r="168" ht="12.75">
      <c r="E168" s="37"/>
    </row>
    <row r="169" ht="12.75">
      <c r="E169" s="37"/>
    </row>
    <row r="170" ht="12.75">
      <c r="E170" s="37"/>
    </row>
    <row r="171" ht="12.75">
      <c r="E171" s="60"/>
    </row>
    <row r="172" ht="12.75">
      <c r="E172" s="60"/>
    </row>
    <row r="173" ht="12.75">
      <c r="E173" s="6"/>
    </row>
    <row r="174" ht="12.75">
      <c r="E174" s="6"/>
    </row>
  </sheetData>
  <printOptions gridLines="1"/>
  <pageMargins left="0.31" right="0.5" top="0.65" bottom="0.51" header="0.36" footer="0.29"/>
  <pageSetup orientation="landscape" scale="80" r:id="rId1"/>
  <headerFooter alignWithMargins="0">
    <oddHeader>&amp;L&amp;"MS Sans Serif,Bold"&amp;12Core Material List</oddHeader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HUGHES</dc:creator>
  <cp:keywords/>
  <dc:description/>
  <cp:lastModifiedBy>kurt hughes</cp:lastModifiedBy>
  <cp:lastPrinted>2001-07-19T23:29:32Z</cp:lastPrinted>
  <dcterms:created xsi:type="dcterms:W3CDTF">2000-06-02T18:22:00Z</dcterms:created>
  <dcterms:modified xsi:type="dcterms:W3CDTF">2012-06-13T02:16:51Z</dcterms:modified>
  <cp:category/>
  <cp:version/>
  <cp:contentType/>
  <cp:contentStatus/>
</cp:coreProperties>
</file>